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urface" sheetId="1" r:id="rId1"/>
    <sheet name="coût" sheetId="2" r:id="rId2"/>
    <sheet name="Feuil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philippe vallin</author>
  </authors>
  <commentList>
    <comment ref="C9" authorId="0">
      <text>
        <r>
          <rPr>
            <b/>
            <sz val="8"/>
            <rFont val="Tahoma"/>
            <family val="0"/>
          </rPr>
          <t>calculé dans "surface"</t>
        </r>
      </text>
    </comment>
    <comment ref="C24" authorId="0">
      <text>
        <r>
          <rPr>
            <b/>
            <sz val="8"/>
            <rFont val="Tahoma"/>
            <family val="0"/>
          </rPr>
          <t>10 % du personnel directe</t>
        </r>
      </text>
    </comment>
    <comment ref="C56" authorId="0">
      <text>
        <r>
          <rPr>
            <b/>
            <sz val="8"/>
            <rFont val="Tahoma"/>
            <family val="0"/>
          </rPr>
          <t>assurances, impots et taxes : 0,3% du CA</t>
        </r>
      </text>
    </comment>
    <comment ref="C55" authorId="0">
      <text>
        <r>
          <rPr>
            <b/>
            <sz val="8"/>
            <rFont val="Tahoma"/>
            <family val="0"/>
          </rPr>
          <t xml:space="preserve">15% de la rémunération de l'encadrement et de la direction
</t>
        </r>
      </text>
    </comment>
    <comment ref="C49" authorId="0">
      <text>
        <r>
          <rPr>
            <b/>
            <sz val="8"/>
            <rFont val="Tahoma"/>
            <family val="0"/>
          </rPr>
          <t>calculé dans "surface" en tenant compte de la saisonnalité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On considère une rotation de 15 jours et on remplace 15% du parc circulant
</t>
        </r>
      </text>
    </comment>
  </commentList>
</comments>
</file>

<file path=xl/sharedStrings.xml><?xml version="1.0" encoding="utf-8"?>
<sst xmlns="http://schemas.openxmlformats.org/spreadsheetml/2006/main" count="158" uniqueCount="112">
  <si>
    <t>Analyse des surfaces</t>
  </si>
  <si>
    <t>coefficient standard</t>
  </si>
  <si>
    <t>unité d'œuvre</t>
  </si>
  <si>
    <t>quantités</t>
  </si>
  <si>
    <t>unités</t>
  </si>
  <si>
    <t>stock moyen</t>
  </si>
  <si>
    <t>Flux entrant / jour</t>
  </si>
  <si>
    <t>Flux sortant / jour</t>
  </si>
  <si>
    <t>palettes</t>
  </si>
  <si>
    <t>jour de flux (ent.)</t>
  </si>
  <si>
    <t>taux de remplissage</t>
  </si>
  <si>
    <t>impact place vide</t>
  </si>
  <si>
    <t>impact places vides</t>
  </si>
  <si>
    <t>place / pal</t>
  </si>
  <si>
    <t>Modules</t>
  </si>
  <si>
    <t>pal / module</t>
  </si>
  <si>
    <t>modules</t>
  </si>
  <si>
    <t>Surface</t>
  </si>
  <si>
    <t>Stokage</t>
  </si>
  <si>
    <t>m²/module</t>
  </si>
  <si>
    <t>m²</t>
  </si>
  <si>
    <t>Réception</t>
  </si>
  <si>
    <t>h</t>
  </si>
  <si>
    <t>durée de travail</t>
  </si>
  <si>
    <t>volume instantanné</t>
  </si>
  <si>
    <t>pal.</t>
  </si>
  <si>
    <t>flux horaire</t>
  </si>
  <si>
    <t>pal. / h</t>
  </si>
  <si>
    <t>m² / pal.</t>
  </si>
  <si>
    <t>Expédition</t>
  </si>
  <si>
    <t>surface annexe et accès</t>
  </si>
  <si>
    <t>surface stock</t>
  </si>
  <si>
    <t>Total avec saisonnalité</t>
  </si>
  <si>
    <t>pointe / moyenne</t>
  </si>
  <si>
    <t>emplacements de stock</t>
  </si>
  <si>
    <t>emplact. / pal.</t>
  </si>
  <si>
    <t>empl -pal.</t>
  </si>
  <si>
    <t>Total surface moyenne</t>
  </si>
  <si>
    <t xml:space="preserve">  </t>
  </si>
  <si>
    <t xml:space="preserve">NIVEAU ANNUEL D'ACTIVITE  </t>
  </si>
  <si>
    <t>TONNAGE</t>
  </si>
  <si>
    <t>t</t>
  </si>
  <si>
    <t>kg</t>
  </si>
  <si>
    <t>PALETTES</t>
  </si>
  <si>
    <t>CA (kf):</t>
  </si>
  <si>
    <t>SURFACE:</t>
  </si>
  <si>
    <t>PRIX /TONNE</t>
  </si>
  <si>
    <t xml:space="preserve">   POSTES DE COUTS</t>
  </si>
  <si>
    <t>CHARGES VARIABLES</t>
  </si>
  <si>
    <t xml:space="preserve"> RATIOS</t>
  </si>
  <si>
    <t>EFFECTIF</t>
  </si>
  <si>
    <t>REMUNERATIONS</t>
  </si>
  <si>
    <t>COUT TOTAL</t>
  </si>
  <si>
    <t>DECHARGEMENT</t>
  </si>
  <si>
    <t>MISE STOCK</t>
  </si>
  <si>
    <t>APPRO PICKING</t>
  </si>
  <si>
    <t>PREPARATION</t>
  </si>
  <si>
    <t>EXPEDITION</t>
  </si>
  <si>
    <t xml:space="preserve"> TOTAL  PERSONNEL DIRECT</t>
  </si>
  <si>
    <t>MAITRISE</t>
  </si>
  <si>
    <t xml:space="preserve"> (%)</t>
  </si>
  <si>
    <t>ADMINISTRATIF</t>
  </si>
  <si>
    <t xml:space="preserve"> TOTAL  ENCADREMENT</t>
  </si>
  <si>
    <t xml:space="preserve"> TOTAL EFFECTIF</t>
  </si>
  <si>
    <t xml:space="preserve"> </t>
  </si>
  <si>
    <t>PERTE MATIERES</t>
  </si>
  <si>
    <t xml:space="preserve"> (% CA)</t>
  </si>
  <si>
    <t xml:space="preserve"> TOTAL  COUT VARIABLE</t>
  </si>
  <si>
    <t>CHARGES</t>
  </si>
  <si>
    <t>FIXES</t>
  </si>
  <si>
    <t>COUT UNITAIRE KF</t>
  </si>
  <si>
    <t>RESPONSABLE DEPOT</t>
  </si>
  <si>
    <t>SECRETAIRE</t>
  </si>
  <si>
    <t>LOCAUX</t>
  </si>
  <si>
    <t>ENTRETIEN</t>
  </si>
  <si>
    <t>ENERGIE</t>
  </si>
  <si>
    <t>INFORMAT</t>
  </si>
  <si>
    <t>NOMBRE</t>
  </si>
  <si>
    <t>CHARIOT</t>
  </si>
  <si>
    <t>élevateur</t>
  </si>
  <si>
    <t>TRANSPAL</t>
  </si>
  <si>
    <t>PALETTIER</t>
  </si>
  <si>
    <t>PLACES PAL</t>
  </si>
  <si>
    <t xml:space="preserve"> TOTAL AMORTISSEMENT MATERIEL</t>
  </si>
  <si>
    <t>BASE CALCUL</t>
  </si>
  <si>
    <t>FRAIS DIVERS DE GESTION</t>
  </si>
  <si>
    <t>A.I.T.</t>
  </si>
  <si>
    <t xml:space="preserve"> TOTAL</t>
  </si>
  <si>
    <t>DIVERS</t>
  </si>
  <si>
    <t xml:space="preserve"> TOTAL COUTS FIXES</t>
  </si>
  <si>
    <t xml:space="preserve"> TOTAL COUT ANNUEL ENTREPOT</t>
  </si>
  <si>
    <t>Entrepôt produits "secs"</t>
  </si>
  <si>
    <t>k€</t>
  </si>
  <si>
    <t>entrée</t>
  </si>
  <si>
    <t>sortie</t>
  </si>
  <si>
    <t>POIDS/PAL sortie</t>
  </si>
  <si>
    <t xml:space="preserve"> (colis/h)</t>
  </si>
  <si>
    <t xml:space="preserve"> (pal/h)</t>
  </si>
  <si>
    <t xml:space="preserve">  € / pal.</t>
  </si>
  <si>
    <t>k€ /an</t>
  </si>
  <si>
    <t>ANALYSE DES COUTS ANNUELS D'UN ENTREPOT PRODUITS SECS</t>
  </si>
  <si>
    <t xml:space="preserve"> (€/t)</t>
  </si>
  <si>
    <t xml:space="preserve"> (€/m²)</t>
  </si>
  <si>
    <t>Système</t>
  </si>
  <si>
    <t>amortissement an en k€</t>
  </si>
  <si>
    <t xml:space="preserve"> TOTAL CHARGES FIXES d'EXPLOITATION</t>
  </si>
  <si>
    <t>MATERIEL</t>
  </si>
  <si>
    <t>FRAIS DIVERS ET TAXES</t>
  </si>
  <si>
    <t xml:space="preserve"> (k€ /m²)</t>
  </si>
  <si>
    <t>(les paramètres et coûts doivent être onsidérés comme des ordres de grandeur)</t>
  </si>
  <si>
    <t>HEURES/AN-pers</t>
  </si>
  <si>
    <t>POIDS/COLIS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</si>
</sst>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19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174" fontId="0" fillId="0" borderId="0" xfId="0" applyNumberFormat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173" fontId="0" fillId="0" borderId="14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17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3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25" xfId="0" applyNumberFormat="1" applyBorder="1" applyAlignment="1">
      <alignment/>
    </xf>
    <xf numFmtId="173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/>
    </xf>
    <xf numFmtId="180" fontId="0" fillId="0" borderId="0" xfId="0" applyNumberFormat="1" applyAlignment="1">
      <alignment/>
    </xf>
    <xf numFmtId="1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24" xfId="0" applyBorder="1" applyAlignment="1">
      <alignment horizontal="left"/>
    </xf>
    <xf numFmtId="180" fontId="0" fillId="0" borderId="11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1" fontId="0" fillId="0" borderId="18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2" fontId="1" fillId="2" borderId="16" xfId="0" applyNumberFormat="1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0" xfId="0" applyFill="1" applyAlignment="1">
      <alignment/>
    </xf>
    <xf numFmtId="0" fontId="3" fillId="3" borderId="19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1" fontId="0" fillId="3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G9" sqref="G9"/>
    </sheetView>
  </sheetViews>
  <sheetFormatPr defaultColWidth="11.421875" defaultRowHeight="12.75"/>
  <cols>
    <col min="1" max="1" width="28.00390625" style="0" customWidth="1"/>
    <col min="2" max="2" width="11.421875" style="2" customWidth="1"/>
    <col min="3" max="3" width="14.7109375" style="2" customWidth="1"/>
    <col min="5" max="5" width="11.421875" style="2" customWidth="1"/>
  </cols>
  <sheetData>
    <row r="2" spans="1:5" ht="18">
      <c r="A2" s="1" t="s">
        <v>91</v>
      </c>
      <c r="C2" s="119" t="s">
        <v>0</v>
      </c>
      <c r="D2" s="119"/>
      <c r="E2" s="119"/>
    </row>
    <row r="3" ht="13.5" thickBot="1"/>
    <row r="4" spans="1:5" ht="26.25" thickBot="1">
      <c r="A4" s="3"/>
      <c r="B4" s="17" t="s">
        <v>1</v>
      </c>
      <c r="C4" s="18" t="s">
        <v>2</v>
      </c>
      <c r="D4" s="33" t="s">
        <v>3</v>
      </c>
      <c r="E4" s="19" t="s">
        <v>4</v>
      </c>
    </row>
    <row r="5" spans="1:5" ht="12.75">
      <c r="A5" s="4"/>
      <c r="B5" s="14"/>
      <c r="C5" s="5"/>
      <c r="D5" s="34"/>
      <c r="E5" s="7"/>
    </row>
    <row r="6" spans="1:5" ht="12.75">
      <c r="A6" s="4" t="s">
        <v>6</v>
      </c>
      <c r="B6" s="14"/>
      <c r="C6" s="5"/>
      <c r="D6" s="34">
        <v>545</v>
      </c>
      <c r="E6" s="7" t="s">
        <v>8</v>
      </c>
    </row>
    <row r="7" spans="1:5" ht="12.75">
      <c r="A7" s="20" t="s">
        <v>7</v>
      </c>
      <c r="B7" s="21"/>
      <c r="C7" s="22"/>
      <c r="D7" s="35">
        <v>682</v>
      </c>
      <c r="E7" s="24" t="s">
        <v>8</v>
      </c>
    </row>
    <row r="8" spans="1:5" ht="12.75">
      <c r="A8" s="25" t="s">
        <v>18</v>
      </c>
      <c r="B8" s="26"/>
      <c r="C8" s="27"/>
      <c r="D8" s="36"/>
      <c r="E8" s="29"/>
    </row>
    <row r="9" spans="1:5" ht="12.75">
      <c r="A9" s="4" t="s">
        <v>10</v>
      </c>
      <c r="B9" s="14">
        <v>0.8</v>
      </c>
      <c r="C9" s="5"/>
      <c r="D9" s="34"/>
      <c r="E9" s="7"/>
    </row>
    <row r="10" spans="1:5" ht="12.75">
      <c r="A10" s="4" t="s">
        <v>11</v>
      </c>
      <c r="B10" s="14">
        <v>1.1</v>
      </c>
      <c r="C10" s="5"/>
      <c r="D10" s="34"/>
      <c r="E10" s="7"/>
    </row>
    <row r="11" spans="1:5" ht="12.75">
      <c r="A11" s="4" t="s">
        <v>5</v>
      </c>
      <c r="B11" s="14">
        <v>15</v>
      </c>
      <c r="C11" s="5" t="s">
        <v>9</v>
      </c>
      <c r="D11" s="34">
        <f>ROUND(B11*D6,0)</f>
        <v>8175</v>
      </c>
      <c r="E11" s="7" t="s">
        <v>8</v>
      </c>
    </row>
    <row r="12" spans="1:5" ht="12.75">
      <c r="A12" s="4" t="s">
        <v>34</v>
      </c>
      <c r="B12" s="14">
        <f>1/B9</f>
        <v>1.25</v>
      </c>
      <c r="C12" s="5" t="s">
        <v>35</v>
      </c>
      <c r="D12" s="34">
        <f>D11*B12</f>
        <v>10218.75</v>
      </c>
      <c r="E12" s="7" t="s">
        <v>36</v>
      </c>
    </row>
    <row r="13" spans="1:5" ht="12.75">
      <c r="A13" s="4" t="s">
        <v>12</v>
      </c>
      <c r="B13" s="14">
        <v>1.1</v>
      </c>
      <c r="C13" s="5" t="s">
        <v>13</v>
      </c>
      <c r="D13" s="34">
        <f>ROUND(D12*B13,0)</f>
        <v>11241</v>
      </c>
      <c r="E13" s="7" t="s">
        <v>36</v>
      </c>
    </row>
    <row r="14" spans="1:5" ht="12.75">
      <c r="A14" s="4" t="s">
        <v>14</v>
      </c>
      <c r="B14" s="14">
        <v>24</v>
      </c>
      <c r="C14" s="5" t="s">
        <v>15</v>
      </c>
      <c r="D14" s="34">
        <f>ROUNDUP(D13/B14,0)</f>
        <v>469</v>
      </c>
      <c r="E14" s="7" t="s">
        <v>16</v>
      </c>
    </row>
    <row r="15" spans="1:5" ht="12.75">
      <c r="A15" s="30" t="s">
        <v>17</v>
      </c>
      <c r="B15" s="21">
        <v>19</v>
      </c>
      <c r="C15" s="22" t="s">
        <v>19</v>
      </c>
      <c r="D15" s="37">
        <f>D14*B15</f>
        <v>8911</v>
      </c>
      <c r="E15" s="24" t="s">
        <v>20</v>
      </c>
    </row>
    <row r="16" spans="1:5" ht="12.75">
      <c r="A16" s="32"/>
      <c r="B16" s="26"/>
      <c r="C16" s="27"/>
      <c r="D16" s="36"/>
      <c r="E16" s="29"/>
    </row>
    <row r="17" spans="1:5" ht="12.75">
      <c r="A17" s="10" t="s">
        <v>21</v>
      </c>
      <c r="B17" s="14"/>
      <c r="C17" s="5"/>
      <c r="D17" s="34"/>
      <c r="E17" s="7"/>
    </row>
    <row r="18" spans="1:5" ht="12.75">
      <c r="A18" s="4" t="s">
        <v>23</v>
      </c>
      <c r="B18" s="14">
        <v>8</v>
      </c>
      <c r="C18" s="5" t="s">
        <v>22</v>
      </c>
      <c r="D18" s="34"/>
      <c r="E18" s="7"/>
    </row>
    <row r="19" spans="1:5" ht="12.75">
      <c r="A19" s="4" t="s">
        <v>26</v>
      </c>
      <c r="B19" s="14"/>
      <c r="C19" s="5"/>
      <c r="D19" s="34">
        <f>ROUND(D6/B18,0)</f>
        <v>68</v>
      </c>
      <c r="E19" s="7" t="s">
        <v>27</v>
      </c>
    </row>
    <row r="20" spans="1:5" ht="12.75">
      <c r="A20" s="4" t="s">
        <v>24</v>
      </c>
      <c r="B20" s="14">
        <v>3</v>
      </c>
      <c r="C20" s="5" t="s">
        <v>22</v>
      </c>
      <c r="D20" s="34">
        <f>ROUND(D6/B18*B20,0)</f>
        <v>204</v>
      </c>
      <c r="E20" s="7" t="s">
        <v>25</v>
      </c>
    </row>
    <row r="21" spans="1:5" ht="12.75">
      <c r="A21" s="30" t="s">
        <v>17</v>
      </c>
      <c r="B21" s="21">
        <v>2</v>
      </c>
      <c r="C21" s="22" t="s">
        <v>28</v>
      </c>
      <c r="D21" s="37">
        <f>D20*B21</f>
        <v>408</v>
      </c>
      <c r="E21" s="24" t="s">
        <v>20</v>
      </c>
    </row>
    <row r="22" spans="1:5" ht="12.75">
      <c r="A22" s="32"/>
      <c r="B22" s="26"/>
      <c r="C22" s="27"/>
      <c r="D22" s="36"/>
      <c r="E22" s="29"/>
    </row>
    <row r="23" spans="1:5" ht="12.75">
      <c r="A23" s="10" t="s">
        <v>29</v>
      </c>
      <c r="B23" s="14"/>
      <c r="C23" s="5"/>
      <c r="D23" s="34"/>
      <c r="E23" s="7"/>
    </row>
    <row r="24" spans="1:5" ht="12.75">
      <c r="A24" s="4" t="s">
        <v>23</v>
      </c>
      <c r="B24" s="14">
        <v>8</v>
      </c>
      <c r="C24" s="5" t="s">
        <v>22</v>
      </c>
      <c r="D24" s="34"/>
      <c r="E24" s="7"/>
    </row>
    <row r="25" spans="1:5" ht="12.75">
      <c r="A25" s="4" t="s">
        <v>26</v>
      </c>
      <c r="B25" s="14"/>
      <c r="C25" s="5"/>
      <c r="D25" s="34">
        <f>ROUND(D7/B24,0)</f>
        <v>85</v>
      </c>
      <c r="E25" s="7" t="s">
        <v>27</v>
      </c>
    </row>
    <row r="26" spans="1:5" ht="12.75">
      <c r="A26" s="4" t="s">
        <v>24</v>
      </c>
      <c r="B26" s="14">
        <v>3</v>
      </c>
      <c r="C26" s="5" t="s">
        <v>22</v>
      </c>
      <c r="D26" s="34">
        <f>ROUND(D7/B24*B26,0)</f>
        <v>256</v>
      </c>
      <c r="E26" s="7" t="s">
        <v>25</v>
      </c>
    </row>
    <row r="27" spans="1:5" ht="12.75">
      <c r="A27" s="30" t="s">
        <v>17</v>
      </c>
      <c r="B27" s="21">
        <v>2</v>
      </c>
      <c r="C27" s="22" t="s">
        <v>28</v>
      </c>
      <c r="D27" s="37">
        <f>D26*B27</f>
        <v>512</v>
      </c>
      <c r="E27" s="24" t="s">
        <v>20</v>
      </c>
    </row>
    <row r="28" spans="1:5" ht="12.75">
      <c r="A28" s="4"/>
      <c r="B28" s="14"/>
      <c r="C28" s="5"/>
      <c r="D28" s="34"/>
      <c r="E28" s="7"/>
    </row>
    <row r="29" spans="1:5" ht="12.75">
      <c r="A29" s="8" t="s">
        <v>37</v>
      </c>
      <c r="B29" s="14"/>
      <c r="C29" s="5"/>
      <c r="D29" s="38">
        <f>D15+D21+D27</f>
        <v>9831</v>
      </c>
      <c r="E29" s="7" t="s">
        <v>20</v>
      </c>
    </row>
    <row r="30" spans="1:5" ht="12.75">
      <c r="A30" s="4" t="s">
        <v>30</v>
      </c>
      <c r="B30" s="15">
        <v>0.15</v>
      </c>
      <c r="C30" s="5" t="s">
        <v>31</v>
      </c>
      <c r="D30" s="39">
        <f>ROUND(D29*(B30),0)</f>
        <v>1475</v>
      </c>
      <c r="E30" s="7" t="s">
        <v>20</v>
      </c>
    </row>
    <row r="31" spans="1:5" ht="12.75">
      <c r="A31" s="8" t="s">
        <v>32</v>
      </c>
      <c r="B31" s="14">
        <v>1.5</v>
      </c>
      <c r="C31" s="5" t="s">
        <v>33</v>
      </c>
      <c r="D31" s="38">
        <f>ROUND((D29+D30)*B31,0)</f>
        <v>16959</v>
      </c>
      <c r="E31" s="7" t="s">
        <v>20</v>
      </c>
    </row>
    <row r="32" spans="1:5" ht="13.5" thickBot="1">
      <c r="A32" s="11"/>
      <c r="B32" s="16"/>
      <c r="C32" s="12"/>
      <c r="D32" s="40"/>
      <c r="E32" s="13"/>
    </row>
  </sheetData>
  <mergeCells count="1">
    <mergeCell ref="C2:E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16.421875" style="0" customWidth="1"/>
    <col min="5" max="5" width="16.7109375" style="0" customWidth="1"/>
    <col min="6" max="6" width="12.421875" style="0" customWidth="1"/>
  </cols>
  <sheetData>
    <row r="1" spans="1:7" ht="12.75">
      <c r="A1" s="41" t="s">
        <v>38</v>
      </c>
      <c r="B1" s="48" t="s">
        <v>100</v>
      </c>
      <c r="D1" s="49"/>
      <c r="E1" s="49"/>
      <c r="F1" s="49"/>
      <c r="G1" s="50"/>
    </row>
    <row r="2" spans="1:3" ht="12.75">
      <c r="A2" s="41"/>
      <c r="B2" t="s">
        <v>109</v>
      </c>
      <c r="C2" s="41"/>
    </row>
    <row r="3" spans="1:3" ht="12.75">
      <c r="A3" s="41"/>
      <c r="C3" s="41"/>
    </row>
    <row r="4" spans="1:7" ht="12.75">
      <c r="A4" s="112" t="s">
        <v>39</v>
      </c>
      <c r="B4" s="113"/>
      <c r="C4" s="114"/>
      <c r="D4" s="114"/>
      <c r="E4" s="114"/>
      <c r="F4" s="114"/>
      <c r="G4" s="114"/>
    </row>
    <row r="5" spans="1:7" ht="12.75">
      <c r="A5" s="115" t="s">
        <v>40</v>
      </c>
      <c r="B5" s="114"/>
      <c r="C5" s="114">
        <f>C7*F5/1000</f>
        <v>68200</v>
      </c>
      <c r="D5" s="114" t="s">
        <v>41</v>
      </c>
      <c r="E5" s="116" t="s">
        <v>95</v>
      </c>
      <c r="F5" s="114">
        <v>400</v>
      </c>
      <c r="G5" s="114" t="s">
        <v>42</v>
      </c>
    </row>
    <row r="6" spans="1:7" ht="12.75">
      <c r="A6" s="117" t="s">
        <v>43</v>
      </c>
      <c r="B6" s="114" t="s">
        <v>93</v>
      </c>
      <c r="C6" s="118">
        <f>250*surface!D6</f>
        <v>136250</v>
      </c>
      <c r="D6" s="114" t="s">
        <v>25</v>
      </c>
      <c r="E6" s="117" t="s">
        <v>110</v>
      </c>
      <c r="F6" s="114">
        <v>1600</v>
      </c>
      <c r="G6" s="114" t="s">
        <v>22</v>
      </c>
    </row>
    <row r="7" spans="1:7" ht="12.75">
      <c r="A7" s="117" t="s">
        <v>43</v>
      </c>
      <c r="B7" s="114" t="s">
        <v>94</v>
      </c>
      <c r="C7" s="118">
        <f>250*surface!D7</f>
        <v>170500</v>
      </c>
      <c r="D7" s="114"/>
      <c r="E7" s="117"/>
      <c r="F7" s="114"/>
      <c r="G7" s="114"/>
    </row>
    <row r="8" spans="1:7" ht="12.75">
      <c r="A8" s="117" t="s">
        <v>44</v>
      </c>
      <c r="B8" s="114"/>
      <c r="C8" s="114">
        <f>C5*F9</f>
        <v>204600</v>
      </c>
      <c r="D8" s="114" t="s">
        <v>92</v>
      </c>
      <c r="E8" s="117" t="s">
        <v>111</v>
      </c>
      <c r="F8" s="114">
        <v>7.5</v>
      </c>
      <c r="G8" s="114" t="s">
        <v>42</v>
      </c>
    </row>
    <row r="9" spans="1:7" ht="12.75">
      <c r="A9" s="117" t="s">
        <v>45</v>
      </c>
      <c r="B9" s="114"/>
      <c r="C9" s="114">
        <v>17000</v>
      </c>
      <c r="D9" s="114" t="s">
        <v>20</v>
      </c>
      <c r="E9" s="117" t="s">
        <v>46</v>
      </c>
      <c r="F9" s="114">
        <v>3</v>
      </c>
      <c r="G9" s="114" t="s">
        <v>92</v>
      </c>
    </row>
    <row r="12" spans="1:2" ht="12.75">
      <c r="A12" s="70" t="s">
        <v>47</v>
      </c>
      <c r="B12" s="42"/>
    </row>
    <row r="14" spans="1:7" s="1" customFormat="1" ht="12.75">
      <c r="A14" s="70" t="s">
        <v>48</v>
      </c>
      <c r="B14" s="71"/>
      <c r="C14" s="51" t="s">
        <v>49</v>
      </c>
      <c r="D14" s="72" t="s">
        <v>50</v>
      </c>
      <c r="E14" s="51" t="s">
        <v>51</v>
      </c>
      <c r="F14" s="69" t="s">
        <v>52</v>
      </c>
      <c r="G14" s="69" t="s">
        <v>98</v>
      </c>
    </row>
    <row r="15" spans="1:7" ht="12.75">
      <c r="A15" s="53"/>
      <c r="B15" s="54"/>
      <c r="C15" s="28"/>
      <c r="D15" s="55"/>
      <c r="E15" s="74" t="s">
        <v>99</v>
      </c>
      <c r="F15" s="75" t="s">
        <v>92</v>
      </c>
      <c r="G15" s="56"/>
    </row>
    <row r="16" spans="1:9" ht="12.75">
      <c r="A16" s="57" t="s">
        <v>53</v>
      </c>
      <c r="B16" s="58" t="s">
        <v>97</v>
      </c>
      <c r="C16" s="6">
        <v>35</v>
      </c>
      <c r="D16" s="59">
        <f>$C$6/$F$6/$C16</f>
        <v>2.4330357142857144</v>
      </c>
      <c r="E16" s="6">
        <v>27</v>
      </c>
      <c r="F16" s="60">
        <f>D16*E16</f>
        <v>65.69196428571429</v>
      </c>
      <c r="G16" s="61">
        <f>F16/$C$7*1000</f>
        <v>0.3852901131126938</v>
      </c>
      <c r="I16" s="43"/>
    </row>
    <row r="17" spans="1:9" ht="12.75">
      <c r="A17" s="57" t="s">
        <v>54</v>
      </c>
      <c r="B17" s="58" t="s">
        <v>97</v>
      </c>
      <c r="C17" s="6">
        <v>25</v>
      </c>
      <c r="D17" s="59">
        <f>$C$6/$F$6/$C17</f>
        <v>3.40625</v>
      </c>
      <c r="E17" s="6">
        <v>27</v>
      </c>
      <c r="F17" s="60">
        <f>D17*E17</f>
        <v>91.96875</v>
      </c>
      <c r="G17" s="61">
        <f aca="true" t="shared" si="0" ref="G17:G26">F17/$C$7*1000</f>
        <v>0.5394061583577712</v>
      </c>
      <c r="I17" s="43"/>
    </row>
    <row r="18" spans="1:9" ht="12.75">
      <c r="A18" s="57" t="s">
        <v>55</v>
      </c>
      <c r="B18" s="58" t="s">
        <v>97</v>
      </c>
      <c r="C18" s="6">
        <v>25</v>
      </c>
      <c r="D18" s="59">
        <f>$C$6/$F$6/$C18</f>
        <v>3.40625</v>
      </c>
      <c r="E18" s="6">
        <v>27</v>
      </c>
      <c r="F18" s="60">
        <f>D18*E18</f>
        <v>91.96875</v>
      </c>
      <c r="G18" s="61">
        <f t="shared" si="0"/>
        <v>0.5394061583577712</v>
      </c>
      <c r="I18" s="43"/>
    </row>
    <row r="19" spans="1:9" ht="12.75">
      <c r="A19" s="57" t="s">
        <v>56</v>
      </c>
      <c r="B19" s="58" t="s">
        <v>96</v>
      </c>
      <c r="C19" s="6">
        <v>150</v>
      </c>
      <c r="D19" s="59">
        <f>$C$5/$F$8/$F$6*1000/$C19</f>
        <v>37.88888888888889</v>
      </c>
      <c r="E19" s="6">
        <v>27</v>
      </c>
      <c r="F19" s="60">
        <f>D19*E19</f>
        <v>1023.0000000000001</v>
      </c>
      <c r="G19" s="61">
        <f t="shared" si="0"/>
        <v>6.000000000000001</v>
      </c>
      <c r="I19" s="43"/>
    </row>
    <row r="20" spans="1:9" ht="12.75">
      <c r="A20" s="57" t="s">
        <v>57</v>
      </c>
      <c r="B20" s="58" t="s">
        <v>97</v>
      </c>
      <c r="C20" s="6">
        <v>35</v>
      </c>
      <c r="D20" s="59">
        <f>$C$7/$F$6/$C20</f>
        <v>3.044642857142857</v>
      </c>
      <c r="E20" s="6">
        <v>27</v>
      </c>
      <c r="F20" s="60">
        <f>D20*E20</f>
        <v>82.20535714285714</v>
      </c>
      <c r="G20" s="61">
        <f t="shared" si="0"/>
        <v>0.48214285714285715</v>
      </c>
      <c r="I20" s="43"/>
    </row>
    <row r="21" spans="1:9" ht="12.75">
      <c r="A21" s="62"/>
      <c r="B21" s="23"/>
      <c r="C21" s="23"/>
      <c r="D21" s="63"/>
      <c r="E21" s="23"/>
      <c r="F21" s="64"/>
      <c r="G21" s="65"/>
      <c r="I21" s="43"/>
    </row>
    <row r="22" spans="1:9" ht="12.75">
      <c r="A22" s="51" t="s">
        <v>58</v>
      </c>
      <c r="B22" s="50"/>
      <c r="C22" s="50"/>
      <c r="D22" s="66">
        <f>SUM(D16:D20)</f>
        <v>50.17906746031746</v>
      </c>
      <c r="E22" s="50"/>
      <c r="F22" s="67">
        <f>SUM(F16:F20)</f>
        <v>1354.8348214285716</v>
      </c>
      <c r="G22" s="68">
        <f t="shared" si="0"/>
        <v>7.946245286971094</v>
      </c>
      <c r="I22" s="43"/>
    </row>
    <row r="23" spans="4:9" ht="12.75">
      <c r="D23" s="45"/>
      <c r="F23" s="43"/>
      <c r="G23" s="46"/>
      <c r="I23" s="43"/>
    </row>
    <row r="24" spans="1:9" ht="12.75">
      <c r="A24" s="53" t="s">
        <v>59</v>
      </c>
      <c r="B24" s="54" t="s">
        <v>60</v>
      </c>
      <c r="C24" s="28">
        <v>10</v>
      </c>
      <c r="D24" s="100">
        <f>$C24*$D$22/100</f>
        <v>5.017906746031747</v>
      </c>
      <c r="E24" s="28">
        <v>33</v>
      </c>
      <c r="F24" s="100">
        <f>D24*$E24</f>
        <v>165.59092261904763</v>
      </c>
      <c r="G24" s="56">
        <f t="shared" si="0"/>
        <v>0.971207757296467</v>
      </c>
      <c r="I24" s="43"/>
    </row>
    <row r="25" spans="1:9" ht="12.75">
      <c r="A25" s="57" t="s">
        <v>61</v>
      </c>
      <c r="B25" s="58" t="s">
        <v>60</v>
      </c>
      <c r="C25" s="6">
        <v>10</v>
      </c>
      <c r="D25" s="60">
        <f>$C25*$D$22/100</f>
        <v>5.017906746031747</v>
      </c>
      <c r="E25" s="6">
        <v>30</v>
      </c>
      <c r="F25" s="60">
        <f>D25*$E25</f>
        <v>150.5372023809524</v>
      </c>
      <c r="G25" s="61">
        <f t="shared" si="0"/>
        <v>0.8829161429967883</v>
      </c>
      <c r="I25" s="43"/>
    </row>
    <row r="26" spans="1:9" s="1" customFormat="1" ht="12.75">
      <c r="A26" s="51" t="s">
        <v>62</v>
      </c>
      <c r="B26" s="50"/>
      <c r="C26" s="50"/>
      <c r="D26" s="66">
        <f>SUM(D24:D25)</f>
        <v>10.035813492063493</v>
      </c>
      <c r="E26" s="50"/>
      <c r="F26" s="67">
        <f>SUM(F24:F25)</f>
        <v>316.12812500000007</v>
      </c>
      <c r="G26" s="68">
        <f t="shared" si="0"/>
        <v>1.8541239002932557</v>
      </c>
      <c r="I26" s="43"/>
    </row>
    <row r="27" spans="1:9" ht="12.75">
      <c r="A27" s="101" t="s">
        <v>63</v>
      </c>
      <c r="B27" s="102" t="s">
        <v>64</v>
      </c>
      <c r="C27" s="31"/>
      <c r="D27" s="103">
        <f>D22+D26</f>
        <v>60.21488095238095</v>
      </c>
      <c r="E27" s="31"/>
      <c r="F27" s="104"/>
      <c r="G27" s="105">
        <f>G22+G26</f>
        <v>9.80036918726435</v>
      </c>
      <c r="I27" s="43"/>
    </row>
    <row r="28" spans="5:9" ht="12.75">
      <c r="E28" s="6"/>
      <c r="F28" s="90"/>
      <c r="G28" s="90"/>
      <c r="H28" s="6"/>
      <c r="I28" s="43"/>
    </row>
    <row r="29" spans="1:9" ht="12.75">
      <c r="A29" s="44" t="s">
        <v>65</v>
      </c>
      <c r="B29" s="97"/>
      <c r="C29" s="97">
        <v>0.1</v>
      </c>
      <c r="D29" s="98" t="s">
        <v>66</v>
      </c>
      <c r="E29" s="97"/>
      <c r="F29" s="99">
        <f>C29*$C$8/100</f>
        <v>204.6</v>
      </c>
      <c r="G29" s="47">
        <f>F29/$C$7*1000</f>
        <v>1.2</v>
      </c>
      <c r="I29" s="43"/>
    </row>
    <row r="30" spans="6:9" ht="12.75">
      <c r="F30" s="43"/>
      <c r="G30" s="46"/>
      <c r="I30" s="43"/>
    </row>
    <row r="31" spans="1:9" s="1" customFormat="1" ht="12.75">
      <c r="A31" s="107" t="s">
        <v>67</v>
      </c>
      <c r="B31" s="108"/>
      <c r="C31" s="108"/>
      <c r="D31" s="108"/>
      <c r="E31" s="108"/>
      <c r="F31" s="109">
        <f>$F$22+$F$26+$F$29</f>
        <v>1875.5629464285716</v>
      </c>
      <c r="G31" s="110">
        <f>F31/$C$7*1000</f>
        <v>11.000369187264349</v>
      </c>
      <c r="I31" s="43"/>
    </row>
    <row r="32" spans="6:9" ht="12.75">
      <c r="F32" s="43"/>
      <c r="G32" s="46"/>
      <c r="I32" s="43"/>
    </row>
    <row r="33" spans="6:9" ht="12.75">
      <c r="F33" s="43"/>
      <c r="G33" s="46"/>
      <c r="I33" s="43"/>
    </row>
    <row r="34" spans="1:9" s="1" customFormat="1" ht="12.75">
      <c r="A34" s="70" t="s">
        <v>68</v>
      </c>
      <c r="B34" s="77" t="s">
        <v>69</v>
      </c>
      <c r="C34" s="82"/>
      <c r="D34" s="73" t="s">
        <v>50</v>
      </c>
      <c r="E34" s="69" t="s">
        <v>70</v>
      </c>
      <c r="F34" s="51" t="s">
        <v>52</v>
      </c>
      <c r="G34" s="69" t="str">
        <f>G14</f>
        <v>  € / pal.</v>
      </c>
      <c r="I34" s="43"/>
    </row>
    <row r="35" spans="1:9" ht="12.75">
      <c r="A35" s="41" t="s">
        <v>71</v>
      </c>
      <c r="B35" s="41" t="s">
        <v>64</v>
      </c>
      <c r="D35">
        <v>1</v>
      </c>
      <c r="E35">
        <v>50</v>
      </c>
      <c r="F35" s="43">
        <f>$D$35*$E$35</f>
        <v>50</v>
      </c>
      <c r="G35" s="61">
        <f aca="true" t="shared" si="1" ref="G35:G49">F35/$C$7*1000</f>
        <v>0.2932551319648094</v>
      </c>
      <c r="I35" s="43"/>
    </row>
    <row r="36" spans="1:9" ht="12.75">
      <c r="A36" t="s">
        <v>72</v>
      </c>
      <c r="D36">
        <v>1</v>
      </c>
      <c r="E36">
        <v>27</v>
      </c>
      <c r="F36" s="43">
        <f>$D$36*$E$36</f>
        <v>27</v>
      </c>
      <c r="G36" s="61">
        <f t="shared" si="1"/>
        <v>0.15835777126099707</v>
      </c>
      <c r="I36" s="43"/>
    </row>
    <row r="37" spans="1:9" ht="12.75">
      <c r="A37" s="41" t="s">
        <v>73</v>
      </c>
      <c r="B37" s="41" t="s">
        <v>108</v>
      </c>
      <c r="C37">
        <f>$C$9</f>
        <v>17000</v>
      </c>
      <c r="D37" t="s">
        <v>20</v>
      </c>
      <c r="E37" s="79">
        <f>0.3/6.55957</f>
        <v>0.04573470517122311</v>
      </c>
      <c r="F37" s="43">
        <f>$C37*$E37</f>
        <v>777.4899879107929</v>
      </c>
      <c r="G37" s="61">
        <f t="shared" si="1"/>
        <v>4.560058580121953</v>
      </c>
      <c r="I37" s="43"/>
    </row>
    <row r="38" spans="1:9" ht="12.75">
      <c r="A38" s="41" t="s">
        <v>74</v>
      </c>
      <c r="B38" s="41" t="s">
        <v>102</v>
      </c>
      <c r="C38">
        <f>$C$9</f>
        <v>17000</v>
      </c>
      <c r="D38" t="s">
        <v>20</v>
      </c>
      <c r="E38">
        <v>10</v>
      </c>
      <c r="F38" s="43">
        <f>$C38*$E38/1000</f>
        <v>170</v>
      </c>
      <c r="G38" s="61">
        <f t="shared" si="1"/>
        <v>0.9970674486803519</v>
      </c>
      <c r="I38" s="43"/>
    </row>
    <row r="39" spans="1:9" ht="12.75">
      <c r="A39" s="41" t="s">
        <v>75</v>
      </c>
      <c r="B39" s="41" t="s">
        <v>101</v>
      </c>
      <c r="C39">
        <f>$C$5</f>
        <v>68200</v>
      </c>
      <c r="D39" t="s">
        <v>41</v>
      </c>
      <c r="E39" s="52">
        <f>0.01/6.55957*1000</f>
        <v>1.5244901723741038</v>
      </c>
      <c r="F39" s="43">
        <f>$C39*$E39/1000</f>
        <v>103.97022975591388</v>
      </c>
      <c r="G39" s="61">
        <f t="shared" si="1"/>
        <v>0.6097960689496414</v>
      </c>
      <c r="I39" s="43"/>
    </row>
    <row r="40" spans="1:9" ht="12.75">
      <c r="A40" s="41" t="s">
        <v>76</v>
      </c>
      <c r="C40">
        <v>1</v>
      </c>
      <c r="D40" t="s">
        <v>103</v>
      </c>
      <c r="E40">
        <v>80</v>
      </c>
      <c r="F40" s="43">
        <v>80</v>
      </c>
      <c r="G40" s="61">
        <f t="shared" si="1"/>
        <v>0.46920821114369504</v>
      </c>
      <c r="I40" s="43"/>
    </row>
    <row r="41" spans="6:9" ht="12.75">
      <c r="F41" s="43"/>
      <c r="G41" s="61"/>
      <c r="I41" s="43"/>
    </row>
    <row r="42" spans="1:9" ht="12.75">
      <c r="A42" s="76" t="s">
        <v>105</v>
      </c>
      <c r="B42" s="77"/>
      <c r="C42" s="71"/>
      <c r="D42" s="71"/>
      <c r="E42" s="71"/>
      <c r="F42" s="78">
        <f>SUM(F35:F40)</f>
        <v>1208.4602176667067</v>
      </c>
      <c r="G42" s="68">
        <f t="shared" si="1"/>
        <v>7.087743212121447</v>
      </c>
      <c r="I42" s="43"/>
    </row>
    <row r="43" spans="1:9" ht="12.75">
      <c r="A43" s="83"/>
      <c r="B43" s="83"/>
      <c r="C43" s="9"/>
      <c r="D43" s="9"/>
      <c r="E43" s="9"/>
      <c r="F43" s="84"/>
      <c r="G43" s="85"/>
      <c r="I43" s="43"/>
    </row>
    <row r="44" spans="1:9" ht="12.75">
      <c r="A44" s="91" t="s">
        <v>106</v>
      </c>
      <c r="B44" s="92"/>
      <c r="C44" s="92" t="s">
        <v>77</v>
      </c>
      <c r="D44" s="92"/>
      <c r="E44" s="93" t="s">
        <v>70</v>
      </c>
      <c r="F44" s="93" t="s">
        <v>52</v>
      </c>
      <c r="G44" s="94" t="str">
        <f>G34</f>
        <v>  € / pal.</v>
      </c>
      <c r="I44" s="43"/>
    </row>
    <row r="45" spans="1:9" ht="12.75">
      <c r="A45" s="62"/>
      <c r="B45" s="23"/>
      <c r="C45" s="23"/>
      <c r="D45" s="23"/>
      <c r="E45" s="95" t="s">
        <v>104</v>
      </c>
      <c r="F45" s="95"/>
      <c r="G45" s="96"/>
      <c r="I45" s="43"/>
    </row>
    <row r="46" spans="1:9" ht="12.75">
      <c r="A46" s="57" t="s">
        <v>78</v>
      </c>
      <c r="B46" s="58" t="s">
        <v>79</v>
      </c>
      <c r="C46" s="86">
        <f>+ROUND(($D$16+$D$17+$D$18+$D$20)*0.6,0)</f>
        <v>7</v>
      </c>
      <c r="D46" s="58" t="s">
        <v>78</v>
      </c>
      <c r="E46" s="59">
        <v>11.739594450373533</v>
      </c>
      <c r="F46" s="60">
        <f>$C46*$E46</f>
        <v>82.17716115261473</v>
      </c>
      <c r="G46" s="61">
        <f t="shared" si="1"/>
        <v>0.4819774847660688</v>
      </c>
      <c r="I46" s="43"/>
    </row>
    <row r="47" spans="1:9" ht="12.75">
      <c r="A47" s="57" t="s">
        <v>80</v>
      </c>
      <c r="B47" s="58" t="s">
        <v>79</v>
      </c>
      <c r="C47" s="86">
        <f>+ROUND(($D$19)*0.6,0)</f>
        <v>23</v>
      </c>
      <c r="D47" s="58" t="s">
        <v>80</v>
      </c>
      <c r="E47" s="59">
        <v>3.01875285866748</v>
      </c>
      <c r="F47" s="60">
        <f>$C47*$E47</f>
        <v>69.43131574935204</v>
      </c>
      <c r="G47" s="61">
        <f t="shared" si="1"/>
        <v>0.40722179325133157</v>
      </c>
      <c r="I47" s="43"/>
    </row>
    <row r="48" spans="1:9" ht="12.75">
      <c r="A48" s="57" t="s">
        <v>43</v>
      </c>
      <c r="B48" s="6"/>
      <c r="C48" s="60">
        <f>surface!D6*15*0.15</f>
        <v>1226.25</v>
      </c>
      <c r="D48" s="58" t="s">
        <v>43</v>
      </c>
      <c r="E48" s="87">
        <v>0.006708339685927734</v>
      </c>
      <c r="F48" s="60">
        <f>$C48*$E48</f>
        <v>8.226101539868884</v>
      </c>
      <c r="G48" s="61">
        <f t="shared" si="1"/>
        <v>0.04824692985260342</v>
      </c>
      <c r="I48" s="43"/>
    </row>
    <row r="49" spans="1:9" ht="12.75">
      <c r="A49" s="88" t="s">
        <v>81</v>
      </c>
      <c r="B49" s="23"/>
      <c r="C49" s="64">
        <f>surface!D13*surface!B31</f>
        <v>16861.5</v>
      </c>
      <c r="D49" s="23" t="s">
        <v>82</v>
      </c>
      <c r="E49" s="89">
        <v>0.0028510443665192868</v>
      </c>
      <c r="F49" s="64">
        <f>$C49*$E49</f>
        <v>48.07288458606495</v>
      </c>
      <c r="G49" s="65">
        <f t="shared" si="1"/>
        <v>0.28195240226431056</v>
      </c>
      <c r="I49" s="43"/>
    </row>
    <row r="50" spans="1:9" s="1" customFormat="1" ht="12.75">
      <c r="A50" s="76" t="s">
        <v>83</v>
      </c>
      <c r="B50" s="71"/>
      <c r="C50" s="71"/>
      <c r="D50" s="71"/>
      <c r="E50" s="71"/>
      <c r="F50" s="78">
        <f>SUM(F46:F49)</f>
        <v>207.9074630279006</v>
      </c>
      <c r="G50" s="68">
        <f>SUM(G46:G49)</f>
        <v>1.2193986101343142</v>
      </c>
      <c r="I50" s="43"/>
    </row>
    <row r="51" spans="1:9" s="1" customFormat="1" ht="12.75">
      <c r="A51" s="83"/>
      <c r="B51" s="9"/>
      <c r="C51" s="9"/>
      <c r="D51" s="9"/>
      <c r="E51" s="9"/>
      <c r="F51" s="80"/>
      <c r="G51" s="81"/>
      <c r="I51" s="43"/>
    </row>
    <row r="52" spans="1:9" s="1" customFormat="1" ht="12.75">
      <c r="A52" s="107" t="s">
        <v>89</v>
      </c>
      <c r="B52" s="111"/>
      <c r="C52" s="108"/>
      <c r="D52" s="108"/>
      <c r="E52" s="108"/>
      <c r="F52" s="109">
        <f>$F$42+$F$50</f>
        <v>1416.3676806946073</v>
      </c>
      <c r="G52" s="110">
        <f>F52/$C$7*1000</f>
        <v>8.30714182225576</v>
      </c>
      <c r="I52" s="43"/>
    </row>
    <row r="53" spans="1:9" s="1" customFormat="1" ht="12.75">
      <c r="A53" s="70"/>
      <c r="B53" s="106"/>
      <c r="C53" s="82"/>
      <c r="D53" s="82"/>
      <c r="E53" s="82"/>
      <c r="F53" s="78"/>
      <c r="G53" s="68"/>
      <c r="I53" s="43"/>
    </row>
    <row r="54" spans="1:9" s="1" customFormat="1" ht="12.75">
      <c r="A54" s="48" t="s">
        <v>107</v>
      </c>
      <c r="B54" s="82"/>
      <c r="C54" s="82"/>
      <c r="D54" s="82" t="s">
        <v>84</v>
      </c>
      <c r="E54" s="82"/>
      <c r="F54" s="51" t="s">
        <v>52</v>
      </c>
      <c r="G54" s="69" t="str">
        <f>G44</f>
        <v>  € / pal.</v>
      </c>
      <c r="I54" s="43"/>
    </row>
    <row r="55" spans="1:9" ht="12.75">
      <c r="A55" s="41" t="s">
        <v>85</v>
      </c>
      <c r="B55" s="41" t="s">
        <v>60</v>
      </c>
      <c r="C55">
        <v>15</v>
      </c>
      <c r="D55" s="43">
        <f>F35+F26</f>
        <v>366.12812500000007</v>
      </c>
      <c r="F55" s="43">
        <f>$C$55*$F$26/100+$C$55*$F$35/100</f>
        <v>54.919218750000006</v>
      </c>
      <c r="G55" s="61">
        <f>F55/$C$7*1000</f>
        <v>0.3221068548387097</v>
      </c>
      <c r="I55" s="43"/>
    </row>
    <row r="56" spans="1:9" ht="12.75">
      <c r="A56" s="41" t="s">
        <v>86</v>
      </c>
      <c r="B56" s="41" t="s">
        <v>60</v>
      </c>
      <c r="C56">
        <v>0.3</v>
      </c>
      <c r="D56">
        <f>+C8</f>
        <v>204600</v>
      </c>
      <c r="F56" s="43">
        <f>$C$56*$C$8/100</f>
        <v>613.8</v>
      </c>
      <c r="G56" s="61">
        <f>F56/$C$7*1000</f>
        <v>3.6</v>
      </c>
      <c r="I56" s="43"/>
    </row>
    <row r="57" spans="1:9" ht="12.75">
      <c r="A57" s="107" t="s">
        <v>87</v>
      </c>
      <c r="B57" s="111" t="s">
        <v>88</v>
      </c>
      <c r="C57" s="108"/>
      <c r="D57" s="108"/>
      <c r="E57" s="108"/>
      <c r="F57" s="109">
        <f>SUM(F55:F56)</f>
        <v>668.71921875</v>
      </c>
      <c r="G57" s="110">
        <f>SUM(G55:G56)</f>
        <v>3.92210685483871</v>
      </c>
      <c r="I57" s="43"/>
    </row>
    <row r="58" spans="6:9" ht="12.75">
      <c r="F58" s="43"/>
      <c r="G58" s="46"/>
      <c r="I58" s="43"/>
    </row>
    <row r="59" spans="1:9" ht="12.75">
      <c r="A59" s="107" t="s">
        <v>90</v>
      </c>
      <c r="B59" s="108"/>
      <c r="C59" s="108"/>
      <c r="D59" s="108"/>
      <c r="E59" s="108"/>
      <c r="F59" s="109">
        <f>$F$31+$F$52+F57</f>
        <v>3960.649845873179</v>
      </c>
      <c r="G59" s="110">
        <f>F59/$C$7*1000</f>
        <v>23.229617864358822</v>
      </c>
      <c r="I59" s="43"/>
    </row>
  </sheetData>
  <printOptions/>
  <pageMargins left="0.75" right="0.75" top="1" bottom="1" header="0.4921259845" footer="0.4921259845"/>
  <pageSetup fitToHeight="1" fitToWidth="1" horizontalDpi="360" verticalDpi="36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philippe vallin</cp:lastModifiedBy>
  <cp:lastPrinted>2002-05-10T18:06:45Z</cp:lastPrinted>
  <dcterms:created xsi:type="dcterms:W3CDTF">2002-05-10T13:55:57Z</dcterms:created>
  <dcterms:modified xsi:type="dcterms:W3CDTF">2007-04-24T15:42:16Z</dcterms:modified>
  <cp:category/>
  <cp:version/>
  <cp:contentType/>
  <cp:contentStatus/>
</cp:coreProperties>
</file>