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80" yWindow="920" windowWidth="17300" windowHeight="10000" tabRatio="617" firstSheet="1" activeTab="8"/>
  </bookViews>
  <sheets>
    <sheet name="E1-Q1" sheetId="1" r:id="rId1"/>
    <sheet name="E1-Q2+3" sheetId="2" r:id="rId2"/>
    <sheet name="E2" sheetId="3" r:id="rId3"/>
    <sheet name="E3" sheetId="4" r:id="rId4"/>
    <sheet name="E4" sheetId="5" r:id="rId5"/>
    <sheet name="E5" sheetId="6" r:id="rId6"/>
    <sheet name="I1" sheetId="7" r:id="rId7"/>
    <sheet name="I2" sheetId="8" r:id="rId8"/>
    <sheet name="I3" sheetId="9" r:id="rId9"/>
  </sheets>
  <definedNames/>
  <calcPr fullCalcOnLoad="1"/>
</workbook>
</file>

<file path=xl/comments1.xml><?xml version="1.0" encoding="utf-8"?>
<comments xmlns="http://schemas.openxmlformats.org/spreadsheetml/2006/main">
  <authors>
    <author>ufr</author>
  </authors>
  <commentList>
    <comment ref="C12" authorId="0">
      <text>
        <r>
          <rPr>
            <b/>
            <sz val="9"/>
            <rFont val="Geneva"/>
            <family val="0"/>
          </rPr>
          <t>=taux annuel/(nb per/an)</t>
        </r>
      </text>
    </comment>
    <comment ref="C13" authorId="0">
      <text>
        <r>
          <rPr>
            <b/>
            <sz val="9"/>
            <rFont val="Geneva"/>
            <family val="0"/>
          </rPr>
          <t>=nb années*(nb per/an)</t>
        </r>
      </text>
    </comment>
    <comment ref="D17" authorId="0">
      <text>
        <r>
          <rPr>
            <b/>
            <sz val="9"/>
            <rFont val="Geneva"/>
            <family val="0"/>
          </rPr>
          <t>=INTPER(C8;B15;C9;-B3) où on fixe toutes les références sauf le n° de ligne de la période courante cad le 15 de B15</t>
        </r>
      </text>
    </comment>
    <comment ref="E17" authorId="0">
      <text>
        <r>
          <rPr>
            <b/>
            <sz val="9"/>
            <rFont val="Geneva"/>
            <family val="0"/>
          </rPr>
          <t>il suffit de tirer vers la droite le contenu de la cellule D15 et de modifier le nom de la fonction cad remplacer INTPER par PRINCPER</t>
        </r>
      </text>
    </comment>
    <comment ref="F17" authorId="0">
      <text>
        <r>
          <rPr>
            <b/>
            <sz val="9"/>
            <rFont val="Geneva"/>
            <family val="0"/>
          </rPr>
          <t>=intéret + principal</t>
        </r>
      </text>
    </comment>
    <comment ref="C18" authorId="0">
      <text>
        <r>
          <rPr>
            <b/>
            <sz val="9"/>
            <rFont val="Geneva"/>
            <family val="0"/>
          </rPr>
          <t>=CRD1-amortissement 1</t>
        </r>
        <r>
          <rPr>
            <sz val="9"/>
            <rFont val="Geneva"/>
            <family val="0"/>
          </rPr>
          <t xml:space="preserve">
</t>
        </r>
      </text>
    </comment>
    <comment ref="D64" authorId="0">
      <text>
        <r>
          <rPr>
            <b/>
            <sz val="9"/>
            <rFont val="Geneva"/>
            <family val="0"/>
          </rPr>
          <t>Attention : il faut modifier les références absolues de façon qu'elles renvoient au nouveau cartouche de paramètres</t>
        </r>
      </text>
    </comment>
  </commentList>
</comments>
</file>

<file path=xl/comments2.xml><?xml version="1.0" encoding="utf-8"?>
<comments xmlns="http://schemas.openxmlformats.org/spreadsheetml/2006/main">
  <authors>
    <author>ufr</author>
  </authors>
  <commentList>
    <comment ref="C23" authorId="0">
      <text>
        <r>
          <rPr>
            <b/>
            <sz val="9"/>
            <rFont val="Geneva"/>
            <family val="0"/>
          </rPr>
          <t>CRD 37=(CRD 36-amortisst 36)</t>
        </r>
      </text>
    </comment>
    <comment ref="D23" authorId="0">
      <text>
        <r>
          <rPr>
            <b/>
            <sz val="9"/>
            <rFont val="Geneva"/>
            <family val="0"/>
          </rPr>
          <t xml:space="preserve">appel de la fonction INTPER comme fait à la question précédente mais prendre pour capital à rembourser CRD37  et diminuer de 36 le n° de la période courante </t>
        </r>
      </text>
    </comment>
    <comment ref="F22" authorId="0">
      <text>
        <r>
          <rPr>
            <b/>
            <sz val="9"/>
            <rFont val="Geneva"/>
            <family val="0"/>
          </rPr>
          <t>=mensualité + éventuelle pénalité</t>
        </r>
        <r>
          <rPr>
            <sz val="9"/>
            <rFont val="Geneva"/>
            <family val="0"/>
          </rPr>
          <t xml:space="preserve">
</t>
        </r>
      </text>
    </comment>
  </commentList>
</comments>
</file>

<file path=xl/comments3.xml><?xml version="1.0" encoding="utf-8"?>
<comments xmlns="http://schemas.openxmlformats.org/spreadsheetml/2006/main">
  <authors>
    <author>ufr</author>
  </authors>
  <commentList>
    <comment ref="E19" authorId="0">
      <text>
        <r>
          <rPr>
            <b/>
            <sz val="9"/>
            <rFont val="Geneva"/>
            <family val="0"/>
          </rPr>
          <t>différé partiel : l'amortisst est nul</t>
        </r>
        <r>
          <rPr>
            <sz val="9"/>
            <rFont val="Geneva"/>
            <family val="0"/>
          </rPr>
          <t xml:space="preserve">
</t>
        </r>
      </text>
    </comment>
    <comment ref="F23" authorId="0">
      <text>
        <r>
          <rPr>
            <b/>
            <sz val="9"/>
            <rFont val="Geneva"/>
            <family val="0"/>
          </rPr>
          <t>différé total : l'annuité est nulle</t>
        </r>
        <r>
          <rPr>
            <sz val="9"/>
            <rFont val="Geneva"/>
            <family val="0"/>
          </rPr>
          <t xml:space="preserve">
</t>
        </r>
      </text>
    </comment>
  </commentList>
</comments>
</file>

<file path=xl/comments4.xml><?xml version="1.0" encoding="utf-8"?>
<comments xmlns="http://schemas.openxmlformats.org/spreadsheetml/2006/main">
  <authors>
    <author>ufr</author>
  </authors>
  <commentList>
    <comment ref="C9" authorId="0">
      <text>
        <r>
          <rPr>
            <b/>
            <sz val="9"/>
            <rFont val="Geneva"/>
            <family val="0"/>
          </rPr>
          <t>utiliser la fonction VPM</t>
        </r>
        <r>
          <rPr>
            <sz val="9"/>
            <rFont val="Geneva"/>
            <family val="0"/>
          </rPr>
          <t xml:space="preserve">
</t>
        </r>
      </text>
    </comment>
    <comment ref="D9" authorId="0">
      <text>
        <r>
          <rPr>
            <b/>
            <sz val="9"/>
            <rFont val="Geneva"/>
            <family val="0"/>
          </rPr>
          <t>utiliser la fonction VA</t>
        </r>
        <r>
          <rPr>
            <sz val="9"/>
            <rFont val="Geneva"/>
            <family val="0"/>
          </rPr>
          <t xml:space="preserve">
</t>
        </r>
      </text>
    </comment>
    <comment ref="H9" authorId="0">
      <text>
        <r>
          <rPr>
            <b/>
            <sz val="9"/>
            <rFont val="Geneva"/>
            <family val="0"/>
          </rPr>
          <t>utiliser la fonction VPM</t>
        </r>
        <r>
          <rPr>
            <sz val="9"/>
            <rFont val="Geneva"/>
            <family val="0"/>
          </rPr>
          <t xml:space="preserve">
</t>
        </r>
      </text>
    </comment>
  </commentList>
</comments>
</file>

<file path=xl/sharedStrings.xml><?xml version="1.0" encoding="utf-8"?>
<sst xmlns="http://schemas.openxmlformats.org/spreadsheetml/2006/main" count="332" uniqueCount="175">
  <si>
    <t>Qu. 1</t>
  </si>
  <si>
    <t>Taux</t>
  </si>
  <si>
    <t>Date</t>
  </si>
  <si>
    <t>Cash flows</t>
  </si>
  <si>
    <t>CF actualisés</t>
  </si>
  <si>
    <t>&lt;-- =C7/(1+C$3)^B7</t>
  </si>
  <si>
    <t>Somme</t>
  </si>
  <si>
    <t>VAN(5%)</t>
  </si>
  <si>
    <t>&lt;-- =VAN(C3;C7:C11)+C6</t>
  </si>
  <si>
    <t>TRI</t>
  </si>
  <si>
    <t>&lt;-- =TRI(C6:C11)</t>
  </si>
  <si>
    <t>Qu. 2</t>
  </si>
  <si>
    <t>CF capitalisés à la date 5</t>
  </si>
  <si>
    <t>&lt;-- =C22*(1+C$18)^(B$26-B22)</t>
  </si>
  <si>
    <t>VA de cette somme</t>
  </si>
  <si>
    <t>&lt;-- =VA(C18;B26;;-D27)</t>
  </si>
  <si>
    <t>Qu. 3</t>
  </si>
  <si>
    <t>&lt;-- =C35*(1+C$32)^(B$39-B35)</t>
  </si>
  <si>
    <t xml:space="preserve"> &lt;-- =VA(C32;B39;;-D40)</t>
  </si>
  <si>
    <t>Cas I2</t>
  </si>
  <si>
    <t>Investissement</t>
  </si>
  <si>
    <t>VAN(3%)</t>
  </si>
  <si>
    <t>Remoursement</t>
  </si>
  <si>
    <t>A1</t>
  </si>
  <si>
    <t>A2</t>
  </si>
  <si>
    <t>taux de remise d'impôt</t>
  </si>
  <si>
    <t>Capital dû début</t>
  </si>
  <si>
    <t xml:space="preserve">Intérêts </t>
  </si>
  <si>
    <t>Remise d'impôt</t>
  </si>
  <si>
    <t>&lt;-- =G$25*D29</t>
  </si>
  <si>
    <t>Qu. 3+4</t>
  </si>
  <si>
    <t>Investissement et Emprunt</t>
  </si>
  <si>
    <t>Investisst</t>
  </si>
  <si>
    <t>Remise impôt</t>
  </si>
  <si>
    <t>Résultante</t>
  </si>
  <si>
    <t>&lt;-- =SOMME(C36:E36)</t>
  </si>
  <si>
    <t>Cas I3</t>
  </si>
  <si>
    <t>Gains attendus</t>
  </si>
  <si>
    <t>Cash-flows</t>
  </si>
  <si>
    <t>taux de réinvestisst</t>
  </si>
  <si>
    <t>TRI = Tx de réinvestisst</t>
  </si>
  <si>
    <t>Tableau de type échéancier</t>
  </si>
  <si>
    <t>Capital encore engagé début période</t>
  </si>
  <si>
    <t>"Amortisst"</t>
  </si>
  <si>
    <t>Fin</t>
  </si>
  <si>
    <t>Cash-Flows</t>
  </si>
  <si>
    <t>investisst</t>
  </si>
  <si>
    <t>emprunt</t>
  </si>
  <si>
    <t>réduc d'impot</t>
  </si>
  <si>
    <t>CF résultant</t>
  </si>
  <si>
    <t>TRIM(3%)</t>
  </si>
  <si>
    <t>4 années suivantes : trimestrialités constantes</t>
  </si>
  <si>
    <t>.</t>
  </si>
  <si>
    <t>premère année : différé partiel tx/an=4,06%</t>
  </si>
  <si>
    <t>deuxième année : différé total tx/an=4,06%</t>
  </si>
  <si>
    <t>txan=4,887%</t>
  </si>
  <si>
    <t>Cas E3</t>
  </si>
  <si>
    <t>Cas E1</t>
  </si>
  <si>
    <t>Cas E2</t>
  </si>
  <si>
    <t>Durée de l'emprunt</t>
  </si>
  <si>
    <t>Capital restant dû après 5 ans</t>
  </si>
  <si>
    <t>Ratio</t>
  </si>
  <si>
    <t>Annuité</t>
  </si>
  <si>
    <t>Coût de l'emprunt</t>
  </si>
  <si>
    <t>Cas E4</t>
  </si>
  <si>
    <t>Durée</t>
  </si>
  <si>
    <t>tx mens.prop.</t>
  </si>
  <si>
    <t>Différé partiel</t>
  </si>
  <si>
    <t>Rembst par mensualités ctes</t>
  </si>
  <si>
    <t>Mensualités maintenues</t>
  </si>
  <si>
    <t>limite financière rembst</t>
  </si>
  <si>
    <t>Allongement de la durée de rembst (mois)</t>
  </si>
  <si>
    <t>il ne paie que les intérêts</t>
  </si>
  <si>
    <t>OR</t>
  </si>
  <si>
    <t>Rappels</t>
  </si>
  <si>
    <t>Résumé</t>
  </si>
  <si>
    <t>Impossibilité financière</t>
  </si>
  <si>
    <t>Prix de sa maison</t>
  </si>
  <si>
    <t>mensualités</t>
  </si>
  <si>
    <t>Question 1</t>
  </si>
  <si>
    <t>nb mois total</t>
  </si>
  <si>
    <t>Question 2</t>
  </si>
  <si>
    <t>Paramètres donnés</t>
  </si>
  <si>
    <t>Paramètres calculés</t>
  </si>
  <si>
    <t>Résultat calculé</t>
  </si>
  <si>
    <t>capital restant dû</t>
  </si>
  <si>
    <t>nb mois résiduels</t>
  </si>
  <si>
    <t>Durée résiduelle</t>
  </si>
  <si>
    <t>Question 3</t>
  </si>
  <si>
    <t>taux 3</t>
  </si>
  <si>
    <t>nb mois nec.</t>
  </si>
  <si>
    <t>nb mois supp.</t>
  </si>
  <si>
    <t>Question 4</t>
  </si>
  <si>
    <t>Tx mensuel 2</t>
  </si>
  <si>
    <t>Nb mois 2</t>
  </si>
  <si>
    <t>Remboursement par mensualités constantes</t>
  </si>
  <si>
    <t>Astuce</t>
  </si>
  <si>
    <t xml:space="preserve">Coefficient de pénalité </t>
  </si>
  <si>
    <t>Nb trim. total</t>
  </si>
  <si>
    <t>Montant à rembourser</t>
  </si>
  <si>
    <t>Date intiale</t>
  </si>
  <si>
    <t>Versement périodique</t>
  </si>
  <si>
    <t>Montant à atteindre</t>
  </si>
  <si>
    <t>nb de trimestres necesaires pour rembourser 50% du capital emprunté ?</t>
  </si>
  <si>
    <t xml:space="preserve"> trimestres</t>
  </si>
  <si>
    <t>Coût relatif</t>
  </si>
  <si>
    <t>baisse ds l'immobilier</t>
  </si>
  <si>
    <t>Cas E5</t>
  </si>
  <si>
    <t>PHASE D'ÉPARGNE</t>
  </si>
  <si>
    <t>Versement initial</t>
  </si>
  <si>
    <t>Vesrts mensuels</t>
  </si>
  <si>
    <t>Taux annuel</t>
  </si>
  <si>
    <t>tx mens.equiv.</t>
  </si>
  <si>
    <t>Date de début</t>
  </si>
  <si>
    <t>Montant épargné</t>
  </si>
  <si>
    <t>Résultats calculés</t>
  </si>
  <si>
    <t>Intérêts acquis hors prime</t>
  </si>
  <si>
    <t>Prime de l'Etat</t>
  </si>
  <si>
    <t>Montant de la prime d'état</t>
  </si>
  <si>
    <t>Intérêts acquis prime incluse</t>
  </si>
  <si>
    <t>PHASE D'EMPRUNT</t>
  </si>
  <si>
    <t>Emprunt</t>
  </si>
  <si>
    <t>Annuité X</t>
  </si>
  <si>
    <t>Intérêts de l'emprunt</t>
  </si>
  <si>
    <t>Max des intérêts d'emprunt</t>
  </si>
  <si>
    <t>Simulation : combien pourrait-il emprunter en utilisant sa capacité max d'emprunt</t>
  </si>
  <si>
    <t>Nb de périodes /an</t>
  </si>
  <si>
    <t>Comparaison</t>
  </si>
  <si>
    <t>Taux effectif</t>
  </si>
  <si>
    <t>Périodicité</t>
  </si>
  <si>
    <t>Mensuelle</t>
  </si>
  <si>
    <t>Trimestrielle</t>
  </si>
  <si>
    <t>Valeur du verst périodique</t>
  </si>
  <si>
    <t>Coût non actualisédu crédit</t>
  </si>
  <si>
    <t>Nb total de périodes</t>
  </si>
  <si>
    <t>Taux périodique</t>
  </si>
  <si>
    <t>Nb périodes /an</t>
  </si>
  <si>
    <t>Résultats</t>
  </si>
  <si>
    <t>Rappel de résultats antérieurs</t>
  </si>
  <si>
    <t>€</t>
  </si>
  <si>
    <t>Taux 1</t>
  </si>
  <si>
    <t>Durée 1</t>
  </si>
  <si>
    <t>Taux 2</t>
  </si>
  <si>
    <t>&lt;-- =TRIM(C11:C16;C17;C19)</t>
  </si>
  <si>
    <r>
      <t>Remarque :</t>
    </r>
    <r>
      <rPr>
        <sz val="10"/>
        <rFont val="Verdana"/>
        <family val="0"/>
      </rPr>
      <t xml:space="preserve"> si on réinvestit au taux du TRI : </t>
    </r>
  </si>
  <si>
    <t xml:space="preserve">Conclusion : </t>
  </si>
  <si>
    <t>linvestissemnt est juste rentable, c'est bine ldéfénition du TRI.</t>
  </si>
  <si>
    <t>Durée 2</t>
  </si>
  <si>
    <t>Montant</t>
  </si>
  <si>
    <t>taux</t>
  </si>
  <si>
    <t>durée</t>
  </si>
  <si>
    <t>cas d'un remboursement par trimestrialités</t>
  </si>
  <si>
    <t>tx trimestriel</t>
  </si>
  <si>
    <t>nb trimestres</t>
  </si>
  <si>
    <t>Échéancier</t>
  </si>
  <si>
    <t>N° période</t>
  </si>
  <si>
    <t>Intérêts</t>
  </si>
  <si>
    <t>amortisst</t>
  </si>
  <si>
    <t>Capital restant dû début</t>
  </si>
  <si>
    <t>cas d'un remboursement par mensualités</t>
  </si>
  <si>
    <t>tx mensuel</t>
  </si>
  <si>
    <t>nb mois</t>
  </si>
  <si>
    <t>taux 1</t>
  </si>
  <si>
    <t>taux 2</t>
  </si>
  <si>
    <t>ans</t>
  </si>
  <si>
    <t>durée 1</t>
  </si>
  <si>
    <t>durée 2</t>
  </si>
  <si>
    <t>:</t>
  </si>
  <si>
    <t>Trimestrialité</t>
  </si>
  <si>
    <t>Mensualité</t>
  </si>
  <si>
    <t>Durée totale</t>
  </si>
  <si>
    <t>tx trim équiv.</t>
  </si>
  <si>
    <t>nb de trim. 1</t>
  </si>
  <si>
    <t>nb de trim. 2</t>
  </si>
  <si>
    <t>Cas I1</t>
  </si>
</sst>
</file>

<file path=xl/styles.xml><?xml version="1.0" encoding="utf-8"?>
<styleSheet xmlns="http://schemas.openxmlformats.org/spreadsheetml/2006/main">
  <numFmts count="30">
    <numFmt numFmtId="5" formatCode="#,##0&quot; €&quot;;\-#,##0&quot; €&quot;"/>
    <numFmt numFmtId="6" formatCode="#,##0&quot; €&quot;;[Red]\-#,##0&quot; €&quot;"/>
    <numFmt numFmtId="7" formatCode="#,##0.00&quot; €&quot;;\-#,##0.00&quot; €&quot;"/>
    <numFmt numFmtId="8" formatCode="#,##0.00&quot; €&quot;;[Red]\-#,##0.00&quot; €&quot;"/>
    <numFmt numFmtId="42" formatCode="_-* #,##0&quot; €&quot;_-;\-* #,##0&quot; €&quot;_-;_-* &quot;-&quot;&quot; €&quot;_-;_-@_-"/>
    <numFmt numFmtId="41" formatCode="_-* #,##0_ _€_-;\-* #,##0_ _€_-;_-* &quot;-&quot;_ _€_-;_-@_-"/>
    <numFmt numFmtId="44" formatCode="_-* #,##0.00&quot; €&quot;_-;\-* #,##0.00&quot; €&quot;_-;_-* &quot;-&quot;??&quot; €&quot;_-;_-@_-"/>
    <numFmt numFmtId="43" formatCode="_-* #,##0.00_ _€_-;\-* #,##0.00_ _€_-;_-* &quot;-&quot;??_ _€_-;_-@_-"/>
    <numFmt numFmtId="164" formatCode="0.000"/>
    <numFmt numFmtId="165" formatCode="0.0%"/>
    <numFmt numFmtId="166" formatCode="0.000%"/>
    <numFmt numFmtId="167" formatCode="0.0000%"/>
    <numFmt numFmtId="168" formatCode="0.00000"/>
    <numFmt numFmtId="169" formatCode="0.0000"/>
    <numFmt numFmtId="170" formatCode="#,##0.0"/>
    <numFmt numFmtId="171" formatCode="0.00000%"/>
    <numFmt numFmtId="172" formatCode="0.000000%"/>
    <numFmt numFmtId="173" formatCode="0.00_ ;[Red]\-0.00\ "/>
    <numFmt numFmtId="174" formatCode="0.0_ ;[Red]\-0.0\ "/>
    <numFmt numFmtId="175" formatCode="0_ ;[Red]\-0\ "/>
    <numFmt numFmtId="176" formatCode="0.0"/>
    <numFmt numFmtId="177" formatCode="#,##0.0000"/>
    <numFmt numFmtId="178" formatCode="#,##0.000"/>
    <numFmt numFmtId="179" formatCode="0.000_ ;[Red]\-0.000\ "/>
    <numFmt numFmtId="180" formatCode="0.000000"/>
    <numFmt numFmtId="181" formatCode="0.0000000"/>
    <numFmt numFmtId="182" formatCode="#,##0.000&quot; €&quot;;[Red]\-#,##0.000&quot; €&quot;"/>
    <numFmt numFmtId="183" formatCode="#,##0.000_ ;[Red]\-#,##0.000\ "/>
    <numFmt numFmtId="184" formatCode="#,##0.00_ ;[Red]\-#,##0.00\ "/>
    <numFmt numFmtId="185" formatCode="_ * #,##0.00_ \ [$€-1]_ ;_ * \-#,##0.00\ \ [$€-1]_ ;_ * &quot;-&quot;??_ \ [$€-1]_ ;_ @_ "/>
  </numFmts>
  <fonts count="29">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36"/>
      <name val="Verdana"/>
      <family val="0"/>
    </font>
    <font>
      <sz val="8"/>
      <name val="Verdana"/>
      <family val="0"/>
    </font>
    <font>
      <sz val="9"/>
      <name val="Geneva"/>
      <family val="0"/>
    </font>
    <font>
      <b/>
      <sz val="9"/>
      <name val="Geneva"/>
      <family val="0"/>
    </font>
    <font>
      <b/>
      <sz val="10"/>
      <color indexed="12"/>
      <name val="Verdana"/>
      <family val="0"/>
    </font>
    <font>
      <sz val="10"/>
      <color indexed="12"/>
      <name val="Verdana"/>
      <family val="0"/>
    </font>
    <font>
      <b/>
      <sz val="10"/>
      <color indexed="16"/>
      <name val="Verdana"/>
      <family val="0"/>
    </font>
    <font>
      <sz val="10"/>
      <color indexed="16"/>
      <name val="Verdana"/>
      <family val="0"/>
    </font>
    <font>
      <sz val="8.75"/>
      <name val="Verdana"/>
      <family val="0"/>
    </font>
    <font>
      <b/>
      <sz val="12"/>
      <name val="Arial"/>
      <family val="0"/>
    </font>
    <font>
      <sz val="10"/>
      <name val="Arial"/>
      <family val="0"/>
    </font>
    <font>
      <b/>
      <sz val="10"/>
      <name val="Arial"/>
      <family val="0"/>
    </font>
    <font>
      <b/>
      <sz val="9"/>
      <name val="Arial"/>
      <family val="0"/>
    </font>
    <font>
      <sz val="9"/>
      <name val="Arial"/>
      <family val="0"/>
    </font>
    <font>
      <b/>
      <sz val="9.25"/>
      <name val="Arial"/>
      <family val="0"/>
    </font>
    <font>
      <sz val="9.25"/>
      <name val="Arial"/>
      <family val="0"/>
    </font>
    <font>
      <b/>
      <sz val="11"/>
      <name val="Arial"/>
      <family val="0"/>
    </font>
    <font>
      <sz val="10"/>
      <color indexed="10"/>
      <name val="Verdana"/>
      <family val="0"/>
    </font>
    <font>
      <b/>
      <sz val="10"/>
      <color indexed="10"/>
      <name val="Verdana"/>
      <family val="0"/>
    </font>
    <font>
      <sz val="9"/>
      <name val="Verdana"/>
      <family val="0"/>
    </font>
    <font>
      <b/>
      <sz val="11"/>
      <color indexed="16"/>
      <name val="Arial"/>
      <family val="0"/>
    </font>
    <font>
      <sz val="9.75"/>
      <name val="Arial"/>
      <family val="0"/>
    </font>
    <font>
      <b/>
      <sz val="9.75"/>
      <name val="Arial"/>
      <family val="0"/>
    </font>
    <font>
      <b/>
      <sz val="8"/>
      <name val="Verdana"/>
      <family val="2"/>
    </font>
  </fonts>
  <fills count="8">
    <fill>
      <patternFill/>
    </fill>
    <fill>
      <patternFill patternType="gray125"/>
    </fill>
    <fill>
      <patternFill patternType="solid">
        <fgColor indexed="44"/>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52"/>
        <bgColor indexed="64"/>
      </patternFill>
    </fill>
    <fill>
      <patternFill patternType="solid">
        <fgColor indexed="51"/>
        <bgColor indexed="64"/>
      </patternFill>
    </fill>
  </fills>
  <borders count="18">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color indexed="63"/>
      </bottom>
    </border>
    <border>
      <left style="thin"/>
      <right style="thin"/>
      <top style="double"/>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2">
    <xf numFmtId="0" fontId="0" fillId="0" borderId="0" xfId="0" applyAlignment="1">
      <alignment/>
    </xf>
    <xf numFmtId="0" fontId="1" fillId="0" borderId="0" xfId="0" applyFont="1" applyAlignment="1">
      <alignment/>
    </xf>
    <xf numFmtId="0" fontId="0" fillId="0" borderId="1" xfId="0" applyBorder="1" applyAlignment="1">
      <alignment/>
    </xf>
    <xf numFmtId="10" fontId="0" fillId="0" borderId="1" xfId="0" applyNumberFormat="1" applyBorder="1" applyAlignment="1">
      <alignment/>
    </xf>
    <xf numFmtId="0" fontId="0" fillId="0" borderId="1" xfId="0" applyBorder="1" applyAlignment="1">
      <alignment horizontal="center" vertical="center"/>
    </xf>
    <xf numFmtId="0" fontId="0" fillId="0" borderId="1" xfId="0" applyBorder="1" applyAlignment="1">
      <alignment vertical="center" wrapText="1"/>
    </xf>
    <xf numFmtId="4" fontId="0" fillId="0" borderId="1" xfId="0" applyNumberFormat="1" applyBorder="1" applyAlignment="1">
      <alignment/>
    </xf>
    <xf numFmtId="0" fontId="0" fillId="0" borderId="2" xfId="0" applyBorder="1" applyAlignment="1">
      <alignment horizontal="center"/>
    </xf>
    <xf numFmtId="4" fontId="0" fillId="0" borderId="2" xfId="0" applyNumberFormat="1" applyBorder="1" applyAlignment="1">
      <alignment/>
    </xf>
    <xf numFmtId="0" fontId="0" fillId="0" borderId="3" xfId="0" applyBorder="1" applyAlignment="1">
      <alignment horizontal="center"/>
    </xf>
    <xf numFmtId="4" fontId="0" fillId="0" borderId="3" xfId="0" applyNumberFormat="1" applyBorder="1" applyAlignment="1">
      <alignment/>
    </xf>
    <xf numFmtId="0" fontId="0" fillId="0" borderId="4" xfId="0" applyBorder="1" applyAlignment="1">
      <alignment horizontal="center"/>
    </xf>
    <xf numFmtId="4" fontId="0" fillId="0" borderId="4" xfId="0" applyNumberFormat="1" applyBorder="1" applyAlignment="1">
      <alignment/>
    </xf>
    <xf numFmtId="0" fontId="0" fillId="0" borderId="2" xfId="0" applyBorder="1" applyAlignment="1">
      <alignment/>
    </xf>
    <xf numFmtId="0" fontId="0" fillId="0" borderId="1" xfId="0" applyFill="1" applyBorder="1" applyAlignment="1">
      <alignment/>
    </xf>
    <xf numFmtId="2" fontId="0" fillId="0" borderId="1" xfId="0" applyNumberFormat="1" applyBorder="1" applyAlignment="1">
      <alignment/>
    </xf>
    <xf numFmtId="2" fontId="0" fillId="0" borderId="0" xfId="0" applyNumberFormat="1" applyBorder="1" applyAlignment="1">
      <alignment/>
    </xf>
    <xf numFmtId="10" fontId="0" fillId="0" borderId="1" xfId="21" applyNumberFormat="1" applyBorder="1" applyAlignment="1">
      <alignment/>
    </xf>
    <xf numFmtId="0" fontId="0" fillId="0" borderId="0" xfId="0" applyBorder="1" applyAlignment="1">
      <alignment/>
    </xf>
    <xf numFmtId="4" fontId="1" fillId="0" borderId="3" xfId="0" applyNumberFormat="1" applyFont="1" applyBorder="1" applyAlignment="1">
      <alignment/>
    </xf>
    <xf numFmtId="0" fontId="0" fillId="0" borderId="4" xfId="0" applyBorder="1" applyAlignment="1">
      <alignment/>
    </xf>
    <xf numFmtId="10" fontId="0" fillId="0" borderId="4" xfId="0" applyNumberFormat="1" applyBorder="1" applyAlignment="1">
      <alignment/>
    </xf>
    <xf numFmtId="0" fontId="0" fillId="0" borderId="5" xfId="0" applyBorder="1" applyAlignment="1">
      <alignment/>
    </xf>
    <xf numFmtId="0" fontId="0" fillId="0" borderId="6" xfId="0" applyBorder="1" applyAlignment="1">
      <alignment horizontal="center"/>
    </xf>
    <xf numFmtId="4" fontId="0" fillId="0" borderId="6" xfId="0" applyNumberFormat="1" applyBorder="1" applyAlignment="1">
      <alignment/>
    </xf>
    <xf numFmtId="3" fontId="0" fillId="0" borderId="1" xfId="0" applyNumberFormat="1" applyBorder="1" applyAlignment="1">
      <alignment/>
    </xf>
    <xf numFmtId="3" fontId="0" fillId="0" borderId="5" xfId="0" applyNumberFormat="1" applyBorder="1" applyAlignment="1">
      <alignment/>
    </xf>
    <xf numFmtId="167" fontId="0" fillId="0" borderId="4" xfId="0" applyNumberFormat="1" applyBorder="1" applyAlignment="1">
      <alignment/>
    </xf>
    <xf numFmtId="9" fontId="0" fillId="0" borderId="1" xfId="21" applyNumberFormat="1" applyBorder="1" applyAlignment="1">
      <alignment/>
    </xf>
    <xf numFmtId="165" fontId="0" fillId="0" borderId="1" xfId="21" applyNumberFormat="1" applyBorder="1" applyAlignment="1">
      <alignment/>
    </xf>
    <xf numFmtId="0" fontId="0" fillId="0" borderId="1" xfId="0" applyFont="1" applyBorder="1" applyAlignment="1">
      <alignment/>
    </xf>
    <xf numFmtId="0" fontId="0" fillId="0" borderId="4" xfId="0" applyFont="1" applyFill="1" applyBorder="1" applyAlignment="1">
      <alignment/>
    </xf>
    <xf numFmtId="165" fontId="0" fillId="0" borderId="4" xfId="21" applyNumberFormat="1" applyFont="1" applyFill="1" applyBorder="1" applyAlignment="1">
      <alignment/>
    </xf>
    <xf numFmtId="0" fontId="0" fillId="0" borderId="1" xfId="0" applyBorder="1" applyAlignment="1">
      <alignment horizontal="center" vertical="center" wrapText="1"/>
    </xf>
    <xf numFmtId="0" fontId="10" fillId="0" borderId="0" xfId="0" applyFont="1" applyAlignment="1">
      <alignment/>
    </xf>
    <xf numFmtId="4" fontId="0" fillId="0" borderId="0" xfId="0" applyNumberFormat="1" applyBorder="1" applyAlignment="1">
      <alignment/>
    </xf>
    <xf numFmtId="0" fontId="0" fillId="0" borderId="7" xfId="0" applyBorder="1" applyAlignment="1">
      <alignment horizontal="center"/>
    </xf>
    <xf numFmtId="0" fontId="9" fillId="0" borderId="0" xfId="0" applyFont="1" applyAlignment="1">
      <alignment horizontal="center"/>
    </xf>
    <xf numFmtId="0" fontId="9" fillId="0" borderId="0" xfId="0" applyFont="1" applyAlignment="1">
      <alignment horizontal="center" vertical="center"/>
    </xf>
    <xf numFmtId="0" fontId="0" fillId="0" borderId="0" xfId="0" applyBorder="1" applyAlignment="1">
      <alignment horizontal="center"/>
    </xf>
    <xf numFmtId="0" fontId="0" fillId="0" borderId="8" xfId="0" applyBorder="1" applyAlignment="1">
      <alignment horizontal="center"/>
    </xf>
    <xf numFmtId="4" fontId="1" fillId="0" borderId="0" xfId="0" applyNumberFormat="1" applyFont="1" applyBorder="1" applyAlignment="1">
      <alignment/>
    </xf>
    <xf numFmtId="4" fontId="0" fillId="0" borderId="0" xfId="0" applyNumberFormat="1" applyFont="1" applyBorder="1" applyAlignment="1">
      <alignment/>
    </xf>
    <xf numFmtId="4" fontId="0" fillId="0" borderId="8" xfId="0" applyNumberFormat="1" applyBorder="1" applyAlignment="1">
      <alignment/>
    </xf>
    <xf numFmtId="4" fontId="0" fillId="0" borderId="9" xfId="0" applyNumberFormat="1" applyFont="1" applyBorder="1" applyAlignment="1">
      <alignment/>
    </xf>
    <xf numFmtId="0" fontId="10" fillId="2" borderId="0" xfId="0" applyFont="1" applyFill="1" applyAlignment="1">
      <alignment horizontal="center"/>
    </xf>
    <xf numFmtId="4" fontId="11" fillId="0" borderId="0" xfId="0" applyNumberFormat="1" applyFont="1" applyBorder="1" applyAlignment="1">
      <alignment/>
    </xf>
    <xf numFmtId="0" fontId="11" fillId="0" borderId="3" xfId="0" applyFont="1" applyBorder="1" applyAlignment="1">
      <alignment horizontal="center"/>
    </xf>
    <xf numFmtId="165" fontId="0" fillId="0" borderId="1" xfId="0" applyNumberFormat="1" applyBorder="1" applyAlignment="1">
      <alignment/>
    </xf>
    <xf numFmtId="9" fontId="0" fillId="0" borderId="1" xfId="0" applyNumberFormat="1" applyBorder="1" applyAlignment="1">
      <alignment/>
    </xf>
    <xf numFmtId="0" fontId="0" fillId="0" borderId="0" xfId="0" applyFill="1" applyBorder="1" applyAlignment="1">
      <alignment/>
    </xf>
    <xf numFmtId="0" fontId="0" fillId="0" borderId="10" xfId="0" applyBorder="1" applyAlignment="1">
      <alignment horizontal="center" vertical="center" wrapText="1"/>
    </xf>
    <xf numFmtId="0" fontId="0" fillId="0" borderId="1" xfId="0" applyFill="1" applyBorder="1" applyAlignment="1">
      <alignment horizontal="center" vertical="center" wrapText="1"/>
    </xf>
    <xf numFmtId="8" fontId="0" fillId="0" borderId="0" xfId="0" applyNumberFormat="1" applyBorder="1" applyAlignment="1">
      <alignment/>
    </xf>
    <xf numFmtId="8" fontId="0" fillId="0" borderId="2" xfId="0" applyNumberFormat="1" applyBorder="1" applyAlignment="1">
      <alignment/>
    </xf>
    <xf numFmtId="165" fontId="0" fillId="0" borderId="2" xfId="0" applyNumberFormat="1" applyBorder="1" applyAlignment="1">
      <alignment horizontal="center"/>
    </xf>
    <xf numFmtId="0" fontId="0" fillId="0" borderId="3" xfId="0" applyFill="1" applyBorder="1" applyAlignment="1">
      <alignment horizontal="center"/>
    </xf>
    <xf numFmtId="8" fontId="0" fillId="0" borderId="3" xfId="0" applyNumberFormat="1" applyBorder="1" applyAlignment="1">
      <alignment/>
    </xf>
    <xf numFmtId="165" fontId="0" fillId="0" borderId="3" xfId="0" applyNumberFormat="1" applyBorder="1" applyAlignment="1">
      <alignment horizontal="center"/>
    </xf>
    <xf numFmtId="8" fontId="0" fillId="0" borderId="4" xfId="0" applyNumberFormat="1" applyBorder="1" applyAlignment="1">
      <alignment/>
    </xf>
    <xf numFmtId="165" fontId="0" fillId="0" borderId="4" xfId="0" applyNumberFormat="1" applyBorder="1" applyAlignment="1">
      <alignment horizontal="center"/>
    </xf>
    <xf numFmtId="0" fontId="1" fillId="0" borderId="0" xfId="0" applyFont="1" applyFill="1" applyBorder="1" applyAlignment="1">
      <alignment/>
    </xf>
    <xf numFmtId="8" fontId="0" fillId="0" borderId="1" xfId="0" applyNumberFormat="1" applyBorder="1" applyAlignment="1">
      <alignment/>
    </xf>
    <xf numFmtId="0" fontId="9" fillId="0" borderId="0" xfId="0" applyFont="1" applyAlignment="1">
      <alignment/>
    </xf>
    <xf numFmtId="2" fontId="0" fillId="0" borderId="0" xfId="0" applyNumberFormat="1" applyAlignment="1">
      <alignment/>
    </xf>
    <xf numFmtId="167" fontId="0" fillId="0" borderId="1" xfId="21" applyNumberFormat="1" applyBorder="1" applyAlignment="1">
      <alignment/>
    </xf>
    <xf numFmtId="9" fontId="0" fillId="0" borderId="1" xfId="21" applyBorder="1" applyAlignment="1">
      <alignment/>
    </xf>
    <xf numFmtId="0" fontId="0" fillId="0" borderId="0" xfId="0" applyFont="1" applyAlignment="1">
      <alignment/>
    </xf>
    <xf numFmtId="14" fontId="0" fillId="0" borderId="1" xfId="0" applyNumberFormat="1" applyBorder="1" applyAlignment="1">
      <alignment/>
    </xf>
    <xf numFmtId="8" fontId="0" fillId="0" borderId="1" xfId="0" applyNumberFormat="1" applyBorder="1" applyAlignment="1">
      <alignment vertical="center"/>
    </xf>
    <xf numFmtId="4" fontId="1" fillId="0" borderId="1" xfId="0" applyNumberFormat="1" applyFont="1" applyBorder="1" applyAlignment="1">
      <alignment/>
    </xf>
    <xf numFmtId="0" fontId="0" fillId="0" borderId="1"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15" fillId="0" borderId="4" xfId="0" applyFont="1" applyBorder="1" applyAlignment="1">
      <alignment horizontal="center"/>
    </xf>
    <xf numFmtId="0" fontId="0" fillId="0" borderId="0" xfId="0" applyFont="1" applyAlignment="1">
      <alignment/>
    </xf>
    <xf numFmtId="0" fontId="0" fillId="0" borderId="1" xfId="0" applyFont="1" applyBorder="1" applyAlignment="1">
      <alignment/>
    </xf>
    <xf numFmtId="4" fontId="0" fillId="0" borderId="1" xfId="0" applyNumberFormat="1" applyFont="1" applyBorder="1" applyAlignment="1">
      <alignment/>
    </xf>
    <xf numFmtId="10" fontId="0" fillId="0" borderId="1" xfId="0" applyNumberFormat="1" applyFont="1" applyBorder="1" applyAlignment="1">
      <alignment/>
    </xf>
    <xf numFmtId="0" fontId="0" fillId="0" borderId="2" xfId="0" applyFont="1" applyBorder="1" applyAlignment="1">
      <alignment/>
    </xf>
    <xf numFmtId="0" fontId="0" fillId="0" borderId="1" xfId="0" applyFont="1" applyFill="1" applyBorder="1" applyAlignment="1">
      <alignment/>
    </xf>
    <xf numFmtId="0" fontId="0" fillId="0" borderId="0" xfId="0" applyFont="1" applyBorder="1" applyAlignment="1">
      <alignment/>
    </xf>
    <xf numFmtId="10" fontId="0" fillId="0" borderId="0" xfId="21" applyNumberFormat="1" applyFont="1" applyBorder="1" applyAlignment="1">
      <alignment/>
    </xf>
    <xf numFmtId="0" fontId="0" fillId="0" borderId="1" xfId="0" applyFont="1" applyBorder="1" applyAlignment="1">
      <alignment horizontal="center" vertical="center"/>
    </xf>
    <xf numFmtId="0" fontId="0" fillId="0" borderId="1" xfId="0" applyFont="1" applyBorder="1" applyAlignment="1">
      <alignment vertical="center" wrapText="1"/>
    </xf>
    <xf numFmtId="0" fontId="0" fillId="0" borderId="2" xfId="0" applyFont="1" applyBorder="1" applyAlignment="1">
      <alignment horizontal="center"/>
    </xf>
    <xf numFmtId="4" fontId="0" fillId="0" borderId="2" xfId="0" applyNumberFormat="1" applyFont="1" applyBorder="1" applyAlignment="1">
      <alignment/>
    </xf>
    <xf numFmtId="0" fontId="0" fillId="0" borderId="3" xfId="0" applyFont="1" applyBorder="1" applyAlignment="1">
      <alignment horizontal="center"/>
    </xf>
    <xf numFmtId="4" fontId="0" fillId="0" borderId="3" xfId="0" applyNumberFormat="1" applyFont="1" applyBorder="1" applyAlignment="1">
      <alignment/>
    </xf>
    <xf numFmtId="0" fontId="0" fillId="0" borderId="6" xfId="0" applyFont="1" applyBorder="1" applyAlignment="1">
      <alignment horizontal="center"/>
    </xf>
    <xf numFmtId="4" fontId="0" fillId="0" borderId="6" xfId="0" applyNumberFormat="1" applyFont="1" applyBorder="1" applyAlignment="1">
      <alignment/>
    </xf>
    <xf numFmtId="0" fontId="0" fillId="0" borderId="11" xfId="0" applyBorder="1" applyAlignment="1">
      <alignment/>
    </xf>
    <xf numFmtId="0" fontId="0" fillId="2" borderId="1" xfId="0" applyFill="1" applyBorder="1" applyAlignment="1">
      <alignment/>
    </xf>
    <xf numFmtId="0" fontId="9" fillId="0" borderId="3" xfId="0" applyFont="1" applyFill="1" applyBorder="1" applyAlignment="1">
      <alignment/>
    </xf>
    <xf numFmtId="0" fontId="0" fillId="2" borderId="4" xfId="0" applyFill="1" applyBorder="1" applyAlignment="1">
      <alignment/>
    </xf>
    <xf numFmtId="0" fontId="9" fillId="0" borderId="12" xfId="0" applyFont="1" applyFill="1" applyBorder="1" applyAlignment="1">
      <alignment/>
    </xf>
    <xf numFmtId="165" fontId="0" fillId="3" borderId="1" xfId="0" applyNumberFormat="1" applyFill="1" applyBorder="1" applyAlignment="1">
      <alignment/>
    </xf>
    <xf numFmtId="0" fontId="0" fillId="0" borderId="4" xfId="0" applyFont="1" applyBorder="1" applyAlignment="1">
      <alignment horizontal="center"/>
    </xf>
    <xf numFmtId="4" fontId="0" fillId="0" borderId="4" xfId="0" applyNumberFormat="1" applyFont="1" applyBorder="1" applyAlignment="1">
      <alignment/>
    </xf>
    <xf numFmtId="0" fontId="15" fillId="0" borderId="1" xfId="0" applyFont="1" applyBorder="1" applyAlignment="1">
      <alignment horizontal="center" vertical="center" wrapText="1"/>
    </xf>
    <xf numFmtId="0" fontId="0" fillId="0" borderId="10" xfId="0" applyFill="1" applyBorder="1" applyAlignment="1">
      <alignment/>
    </xf>
    <xf numFmtId="4" fontId="0" fillId="4" borderId="1" xfId="0" applyNumberFormat="1" applyFill="1" applyBorder="1" applyAlignment="1">
      <alignment/>
    </xf>
    <xf numFmtId="0" fontId="0" fillId="0" borderId="0" xfId="0" applyFill="1" applyAlignment="1">
      <alignment/>
    </xf>
    <xf numFmtId="0" fontId="15" fillId="0" borderId="10"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Fill="1" applyBorder="1" applyAlignment="1">
      <alignment horizontal="center" vertical="center" wrapText="1"/>
    </xf>
    <xf numFmtId="8" fontId="15" fillId="0" borderId="13" xfId="0" applyNumberFormat="1" applyFont="1" applyBorder="1" applyAlignment="1">
      <alignment/>
    </xf>
    <xf numFmtId="8" fontId="15" fillId="0" borderId="2" xfId="0" applyNumberFormat="1" applyFont="1" applyBorder="1" applyAlignment="1">
      <alignment/>
    </xf>
    <xf numFmtId="165" fontId="15" fillId="0" borderId="14" xfId="0" applyNumberFormat="1" applyFont="1" applyBorder="1" applyAlignment="1">
      <alignment horizontal="center"/>
    </xf>
    <xf numFmtId="0" fontId="15" fillId="0" borderId="3" xfId="0" applyFont="1" applyFill="1" applyBorder="1" applyAlignment="1">
      <alignment horizontal="center"/>
    </xf>
    <xf numFmtId="8" fontId="15" fillId="0" borderId="15" xfId="0" applyNumberFormat="1" applyFont="1" applyBorder="1" applyAlignment="1">
      <alignment/>
    </xf>
    <xf numFmtId="8" fontId="15" fillId="0" borderId="3" xfId="0" applyNumberFormat="1" applyFont="1" applyBorder="1" applyAlignment="1">
      <alignment/>
    </xf>
    <xf numFmtId="165" fontId="15" fillId="0" borderId="7" xfId="0" applyNumberFormat="1" applyFont="1" applyBorder="1" applyAlignment="1">
      <alignment horizontal="center"/>
    </xf>
    <xf numFmtId="8" fontId="15" fillId="0" borderId="9" xfId="0" applyNumberFormat="1" applyFont="1" applyBorder="1" applyAlignment="1">
      <alignment/>
    </xf>
    <xf numFmtId="8" fontId="15" fillId="0" borderId="4" xfId="0" applyNumberFormat="1" applyFont="1" applyBorder="1" applyAlignment="1">
      <alignment/>
    </xf>
    <xf numFmtId="165" fontId="15" fillId="0" borderId="16" xfId="0" applyNumberFormat="1" applyFont="1" applyBorder="1" applyAlignment="1">
      <alignment horizontal="center"/>
    </xf>
    <xf numFmtId="10" fontId="0" fillId="0" borderId="1" xfId="0" applyNumberFormat="1" applyFont="1" applyBorder="1" applyAlignment="1">
      <alignment/>
    </xf>
    <xf numFmtId="1" fontId="0" fillId="0" borderId="1" xfId="0" applyNumberFormat="1" applyFont="1" applyBorder="1" applyAlignment="1">
      <alignment/>
    </xf>
    <xf numFmtId="4" fontId="0" fillId="0" borderId="1" xfId="0" applyNumberFormat="1" applyFont="1" applyBorder="1" applyAlignment="1">
      <alignment/>
    </xf>
    <xf numFmtId="174" fontId="0" fillId="0" borderId="1" xfId="0" applyNumberFormat="1" applyBorder="1" applyAlignment="1">
      <alignment/>
    </xf>
    <xf numFmtId="0" fontId="0" fillId="0" borderId="1" xfId="0" applyFont="1" applyFill="1" applyBorder="1" applyAlignment="1">
      <alignment/>
    </xf>
    <xf numFmtId="8" fontId="0" fillId="0" borderId="1" xfId="0" applyNumberFormat="1" applyFont="1" applyBorder="1" applyAlignment="1">
      <alignment/>
    </xf>
    <xf numFmtId="165" fontId="0" fillId="0" borderId="1" xfId="21" applyNumberFormat="1" applyFont="1" applyBorder="1" applyAlignment="1">
      <alignment/>
    </xf>
    <xf numFmtId="0" fontId="9" fillId="0" borderId="0" xfId="0" applyFont="1" applyAlignment="1">
      <alignment horizontal="right"/>
    </xf>
    <xf numFmtId="0" fontId="23" fillId="5" borderId="1" xfId="0" applyFont="1" applyFill="1" applyBorder="1" applyAlignment="1">
      <alignment wrapText="1"/>
    </xf>
    <xf numFmtId="2" fontId="23" fillId="5" borderId="1" xfId="0" applyNumberFormat="1" applyFont="1" applyFill="1" applyBorder="1" applyAlignment="1">
      <alignment vertical="center"/>
    </xf>
    <xf numFmtId="0" fontId="22" fillId="5" borderId="1" xfId="0" applyFont="1" applyFill="1" applyBorder="1" applyAlignment="1">
      <alignment/>
    </xf>
    <xf numFmtId="174" fontId="22" fillId="5" borderId="1" xfId="0" applyNumberFormat="1" applyFont="1" applyFill="1" applyBorder="1" applyAlignment="1">
      <alignment/>
    </xf>
    <xf numFmtId="0" fontId="11" fillId="0" borderId="0" xfId="0" applyFont="1" applyAlignment="1">
      <alignment/>
    </xf>
    <xf numFmtId="0" fontId="12" fillId="5" borderId="1" xfId="0" applyFont="1" applyFill="1" applyBorder="1" applyAlignment="1">
      <alignment/>
    </xf>
    <xf numFmtId="174" fontId="12" fillId="5" borderId="1" xfId="0" applyNumberFormat="1" applyFont="1" applyFill="1" applyBorder="1" applyAlignment="1">
      <alignment/>
    </xf>
    <xf numFmtId="0" fontId="11" fillId="0" borderId="0" xfId="0" applyFont="1" applyAlignment="1">
      <alignment horizontal="center"/>
    </xf>
    <xf numFmtId="0" fontId="11" fillId="6" borderId="1" xfId="0" applyFont="1" applyFill="1" applyBorder="1" applyAlignment="1">
      <alignment horizontal="center" vertical="center" wrapText="1"/>
    </xf>
    <xf numFmtId="0" fontId="11" fillId="6" borderId="1" xfId="0" applyFont="1" applyFill="1" applyBorder="1" applyAlignment="1">
      <alignment horizontal="center" vertical="center"/>
    </xf>
    <xf numFmtId="9" fontId="12" fillId="5" borderId="2" xfId="0" applyNumberFormat="1" applyFont="1" applyFill="1" applyBorder="1" applyAlignment="1">
      <alignment horizontal="center"/>
    </xf>
    <xf numFmtId="2" fontId="12" fillId="5" borderId="2" xfId="0" applyNumberFormat="1" applyFont="1" applyFill="1" applyBorder="1" applyAlignment="1">
      <alignment horizontal="center"/>
    </xf>
    <xf numFmtId="174" fontId="12" fillId="5" borderId="2" xfId="0" applyNumberFormat="1" applyFont="1" applyFill="1" applyBorder="1" applyAlignment="1">
      <alignment horizontal="center"/>
    </xf>
    <xf numFmtId="9" fontId="12" fillId="5" borderId="3" xfId="0" applyNumberFormat="1" applyFont="1" applyFill="1" applyBorder="1" applyAlignment="1">
      <alignment horizontal="center"/>
    </xf>
    <xf numFmtId="2" fontId="12" fillId="5" borderId="3" xfId="0" applyNumberFormat="1" applyFont="1" applyFill="1" applyBorder="1" applyAlignment="1">
      <alignment horizontal="center"/>
    </xf>
    <xf numFmtId="174" fontId="12" fillId="5" borderId="3" xfId="0" applyNumberFormat="1" applyFont="1" applyFill="1" applyBorder="1" applyAlignment="1">
      <alignment horizontal="center"/>
    </xf>
    <xf numFmtId="9" fontId="12" fillId="5" borderId="4" xfId="0" applyNumberFormat="1" applyFont="1" applyFill="1" applyBorder="1" applyAlignment="1">
      <alignment horizontal="center"/>
    </xf>
    <xf numFmtId="2" fontId="12" fillId="5" borderId="4" xfId="0" applyNumberFormat="1" applyFont="1" applyFill="1" applyBorder="1" applyAlignment="1">
      <alignment horizontal="center"/>
    </xf>
    <xf numFmtId="174" fontId="12" fillId="5" borderId="4" xfId="0" applyNumberFormat="1" applyFont="1" applyFill="1" applyBorder="1" applyAlignment="1">
      <alignment horizontal="center"/>
    </xf>
    <xf numFmtId="0" fontId="12" fillId="6" borderId="1" xfId="0" applyFont="1" applyFill="1" applyBorder="1" applyAlignment="1">
      <alignment/>
    </xf>
    <xf numFmtId="0" fontId="12" fillId="7" borderId="1" xfId="0" applyFont="1" applyFill="1" applyBorder="1" applyAlignment="1">
      <alignment/>
    </xf>
    <xf numFmtId="9" fontId="12" fillId="5" borderId="1" xfId="21" applyFont="1" applyFill="1" applyBorder="1" applyAlignment="1">
      <alignment vertical="center"/>
    </xf>
    <xf numFmtId="4" fontId="0" fillId="5" borderId="1" xfId="0" applyNumberFormat="1" applyFill="1" applyBorder="1" applyAlignment="1">
      <alignment/>
    </xf>
    <xf numFmtId="0" fontId="11" fillId="7" borderId="1" xfId="0" applyFont="1" applyFill="1" applyBorder="1" applyAlignment="1">
      <alignment horizontal="center" vertical="center" wrapText="1"/>
    </xf>
    <xf numFmtId="0" fontId="12" fillId="7" borderId="1" xfId="0" applyFont="1" applyFill="1" applyBorder="1" applyAlignment="1">
      <alignment wrapText="1"/>
    </xf>
    <xf numFmtId="0" fontId="0" fillId="0" borderId="1" xfId="0" applyBorder="1" applyAlignment="1">
      <alignment horizontal="center"/>
    </xf>
    <xf numFmtId="9" fontId="0" fillId="0" borderId="1" xfId="0" applyNumberFormat="1" applyBorder="1" applyAlignment="1">
      <alignment horizontal="center"/>
    </xf>
    <xf numFmtId="2" fontId="0" fillId="0" borderId="2" xfId="0" applyNumberFormat="1" applyBorder="1" applyAlignment="1">
      <alignment/>
    </xf>
    <xf numFmtId="2" fontId="0" fillId="0" borderId="3" xfId="0" applyNumberFormat="1" applyBorder="1" applyAlignment="1">
      <alignment/>
    </xf>
    <xf numFmtId="2" fontId="0" fillId="0" borderId="4" xfId="0" applyNumberFormat="1" applyBorder="1" applyAlignment="1">
      <alignment/>
    </xf>
    <xf numFmtId="0" fontId="0" fillId="0" borderId="1" xfId="0" applyBorder="1" applyAlignment="1">
      <alignment wrapText="1"/>
    </xf>
    <xf numFmtId="0" fontId="0" fillId="0" borderId="0" xfId="0" applyAlignment="1">
      <alignment vertical="center"/>
    </xf>
    <xf numFmtId="10" fontId="0" fillId="0" borderId="1" xfId="0" applyNumberFormat="1" applyBorder="1" applyAlignment="1">
      <alignment horizontal="center"/>
    </xf>
    <xf numFmtId="4" fontId="0" fillId="0" borderId="15" xfId="0" applyNumberFormat="1" applyBorder="1" applyAlignment="1">
      <alignment/>
    </xf>
    <xf numFmtId="4" fontId="0" fillId="0" borderId="9" xfId="0" applyNumberFormat="1" applyBorder="1" applyAlignment="1">
      <alignment/>
    </xf>
    <xf numFmtId="166" fontId="0" fillId="0" borderId="1" xfId="0" applyNumberFormat="1" applyBorder="1" applyAlignment="1">
      <alignment/>
    </xf>
    <xf numFmtId="9" fontId="0" fillId="0" borderId="1" xfId="0" applyNumberFormat="1" applyBorder="1" applyAlignment="1">
      <alignment horizontal="right"/>
    </xf>
    <xf numFmtId="0" fontId="0" fillId="0" borderId="0" xfId="0" applyBorder="1" applyAlignment="1">
      <alignment horizontal="left"/>
    </xf>
    <xf numFmtId="0" fontId="0" fillId="0" borderId="1" xfId="0" applyFill="1" applyBorder="1" applyAlignment="1">
      <alignment horizontal="left"/>
    </xf>
    <xf numFmtId="0" fontId="1" fillId="0" borderId="0" xfId="0" applyFont="1" applyFill="1" applyBorder="1" applyAlignment="1">
      <alignment horizontal="left"/>
    </xf>
    <xf numFmtId="0" fontId="0" fillId="0" borderId="1" xfId="0" applyBorder="1" applyAlignment="1">
      <alignment horizontal="center" wrapText="1"/>
    </xf>
    <xf numFmtId="0" fontId="0" fillId="0" borderId="2" xfId="0" applyFill="1" applyBorder="1" applyAlignment="1">
      <alignment horizontal="center" vertical="center" wrapText="1"/>
    </xf>
    <xf numFmtId="4" fontId="0" fillId="0" borderId="13" xfId="0" applyNumberFormat="1" applyBorder="1" applyAlignment="1">
      <alignment/>
    </xf>
    <xf numFmtId="0" fontId="0" fillId="0" borderId="10" xfId="0" applyBorder="1" applyAlignment="1">
      <alignment horizontal="center"/>
    </xf>
    <xf numFmtId="0" fontId="0" fillId="0" borderId="17" xfId="0" applyBorder="1" applyAlignment="1">
      <alignment horizontal="center"/>
    </xf>
    <xf numFmtId="0" fontId="0" fillId="0" borderId="11" xfId="0" applyBorder="1" applyAlignment="1">
      <alignment horizontal="center"/>
    </xf>
    <xf numFmtId="0" fontId="0" fillId="0" borderId="1" xfId="0" applyFill="1" applyBorder="1" applyAlignment="1">
      <alignment horizontal="center"/>
    </xf>
    <xf numFmtId="4" fontId="0" fillId="0" borderId="14" xfId="0" applyNumberFormat="1" applyBorder="1" applyAlignment="1">
      <alignment/>
    </xf>
    <xf numFmtId="4" fontId="0" fillId="0" borderId="7" xfId="0" applyNumberFormat="1" applyBorder="1" applyAlignment="1">
      <alignment/>
    </xf>
    <xf numFmtId="0" fontId="0" fillId="0" borderId="15" xfId="0" applyBorder="1" applyAlignment="1">
      <alignment/>
    </xf>
    <xf numFmtId="0" fontId="0" fillId="0" borderId="3" xfId="0" applyBorder="1" applyAlignment="1">
      <alignment/>
    </xf>
    <xf numFmtId="0" fontId="0" fillId="0" borderId="9" xfId="0" applyBorder="1" applyAlignment="1">
      <alignment/>
    </xf>
    <xf numFmtId="4" fontId="0" fillId="0" borderId="16" xfId="0" applyNumberFormat="1" applyBorder="1" applyAlignment="1">
      <alignment/>
    </xf>
    <xf numFmtId="166" fontId="0" fillId="0" borderId="1" xfId="0" applyNumberFormat="1" applyBorder="1" applyAlignment="1">
      <alignment horizontal="center"/>
    </xf>
    <xf numFmtId="166" fontId="0" fillId="0" borderId="0" xfId="0" applyNumberFormat="1" applyAlignment="1">
      <alignment/>
    </xf>
    <xf numFmtId="0" fontId="1" fillId="0" borderId="0" xfId="0" applyFont="1" applyBorder="1" applyAlignment="1">
      <alignment/>
    </xf>
    <xf numFmtId="3" fontId="0" fillId="0" borderId="2" xfId="0" applyNumberFormat="1" applyBorder="1" applyAlignment="1">
      <alignment/>
    </xf>
    <xf numFmtId="166" fontId="0" fillId="0" borderId="0" xfId="0" applyNumberFormat="1" applyBorder="1" applyAlignment="1">
      <alignment/>
    </xf>
    <xf numFmtId="9" fontId="0" fillId="0" borderId="0" xfId="0" applyNumberFormat="1" applyBorder="1" applyAlignment="1">
      <alignment/>
    </xf>
    <xf numFmtId="9" fontId="0" fillId="0" borderId="1" xfId="0" applyNumberFormat="1" applyBorder="1" applyAlignment="1">
      <alignment horizontal="right" vertical="center"/>
    </xf>
    <xf numFmtId="0" fontId="0" fillId="0" borderId="2" xfId="0" applyBorder="1" applyAlignment="1">
      <alignment horizontal="center" vertical="center"/>
    </xf>
    <xf numFmtId="3" fontId="0" fillId="0" borderId="13" xfId="0" applyNumberFormat="1" applyBorder="1" applyAlignment="1">
      <alignment/>
    </xf>
    <xf numFmtId="3" fontId="0" fillId="0" borderId="3" xfId="0" applyNumberFormat="1" applyBorder="1" applyAlignment="1">
      <alignment/>
    </xf>
    <xf numFmtId="3" fontId="0" fillId="0" borderId="15" xfId="0" applyNumberFormat="1" applyBorder="1" applyAlignment="1">
      <alignment/>
    </xf>
    <xf numFmtId="1" fontId="0" fillId="0" borderId="3" xfId="0" applyNumberFormat="1" applyBorder="1" applyAlignment="1">
      <alignment/>
    </xf>
    <xf numFmtId="3" fontId="0" fillId="0" borderId="4" xfId="0" applyNumberFormat="1" applyBorder="1" applyAlignment="1">
      <alignment/>
    </xf>
    <xf numFmtId="1" fontId="0" fillId="0" borderId="4" xfId="0" applyNumberFormat="1" applyBorder="1" applyAlignment="1">
      <alignment/>
    </xf>
    <xf numFmtId="3" fontId="0" fillId="0" borderId="9" xfId="0" applyNumberFormat="1" applyBorder="1" applyAlignment="1">
      <alignment/>
    </xf>
    <xf numFmtId="0" fontId="0" fillId="0" borderId="10" xfId="0" applyBorder="1" applyAlignment="1">
      <alignment/>
    </xf>
    <xf numFmtId="0" fontId="0" fillId="0" borderId="17" xfId="0" applyBorder="1" applyAlignment="1">
      <alignment/>
    </xf>
    <xf numFmtId="166" fontId="0" fillId="0" borderId="4" xfId="0" applyNumberFormat="1" applyBorder="1" applyAlignment="1">
      <alignment/>
    </xf>
    <xf numFmtId="9" fontId="0" fillId="0" borderId="0" xfId="0" applyNumberFormat="1" applyAlignment="1">
      <alignment/>
    </xf>
    <xf numFmtId="0" fontId="0" fillId="0" borderId="1" xfId="0" applyFont="1" applyBorder="1" applyAlignment="1">
      <alignment horizontal="left"/>
    </xf>
    <xf numFmtId="0" fontId="0" fillId="0" borderId="10" xfId="0" applyFont="1" applyBorder="1" applyAlignment="1">
      <alignment horizontal="left" vertical="center" wrapText="1"/>
    </xf>
    <xf numFmtId="0" fontId="0" fillId="0" borderId="11" xfId="0" applyFont="1" applyBorder="1" applyAlignment="1">
      <alignment horizontal="left"/>
    </xf>
    <xf numFmtId="0" fontId="1" fillId="0" borderId="0" xfId="0" applyFont="1" applyAlignment="1">
      <alignment/>
    </xf>
    <xf numFmtId="0" fontId="9" fillId="0" borderId="12" xfId="0" applyFont="1" applyBorder="1" applyAlignment="1">
      <alignment/>
    </xf>
    <xf numFmtId="0" fontId="0" fillId="0" borderId="1" xfId="0" applyFont="1" applyBorder="1" applyAlignment="1">
      <alignment horizontal="left" vertical="center" wrapText="1"/>
    </xf>
    <xf numFmtId="0" fontId="10" fillId="2" borderId="2" xfId="0" applyFont="1" applyFill="1" applyBorder="1" applyAlignment="1">
      <alignment vertical="center" wrapText="1"/>
    </xf>
    <xf numFmtId="0" fontId="10" fillId="2" borderId="3" xfId="0" applyFont="1" applyFill="1" applyBorder="1" applyAlignment="1">
      <alignment vertical="center" wrapText="1"/>
    </xf>
    <xf numFmtId="0" fontId="10" fillId="2" borderId="4" xfId="0" applyFont="1" applyFill="1" applyBorder="1" applyAlignment="1">
      <alignment vertical="center" wrapText="1"/>
    </xf>
    <xf numFmtId="0" fontId="10" fillId="2" borderId="14" xfId="0" applyFont="1" applyFill="1" applyBorder="1" applyAlignment="1">
      <alignment vertical="center" wrapText="1"/>
    </xf>
    <xf numFmtId="0" fontId="10" fillId="2" borderId="7" xfId="0" applyFont="1" applyFill="1" applyBorder="1" applyAlignment="1">
      <alignmen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?volution de la part du capital restant d? apr?s 5 ans / capital emprunt? en fct de la dur?e de l'emprunt</a:t>
            </a:r>
          </a:p>
        </c:rich>
      </c:tx>
      <c:layout>
        <c:manualLayout>
          <c:xMode val="factor"/>
          <c:yMode val="factor"/>
          <c:x val="0.04925"/>
          <c:y val="0.005"/>
        </c:manualLayout>
      </c:layout>
      <c:spPr>
        <a:noFill/>
        <a:ln>
          <a:noFill/>
        </a:ln>
      </c:spPr>
    </c:title>
    <c:plotArea>
      <c:layout>
        <c:manualLayout>
          <c:xMode val="edge"/>
          <c:yMode val="edge"/>
          <c:x val="0.02325"/>
          <c:y val="0.2245"/>
          <c:w val="0.9535"/>
          <c:h val="0.678"/>
        </c:manualLayout>
      </c:layout>
      <c:barChart>
        <c:barDir val="col"/>
        <c:grouping val="clustered"/>
        <c:varyColors val="0"/>
        <c:ser>
          <c:idx val="1"/>
          <c:order val="0"/>
          <c:tx>
            <c:strRef>
              <c:f>'E3'!$E$8</c:f>
              <c:strCache>
                <c:ptCount val="1"/>
                <c:pt idx="0">
                  <c:v>Ratio</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numRef>
              <c:f>'E3'!$B$9:$B$13</c:f>
              <c:numCache>
                <c:ptCount val="5"/>
                <c:pt idx="0">
                  <c:v>0</c:v>
                </c:pt>
                <c:pt idx="1">
                  <c:v>0</c:v>
                </c:pt>
                <c:pt idx="2">
                  <c:v>0</c:v>
                </c:pt>
                <c:pt idx="3">
                  <c:v>0</c:v>
                </c:pt>
                <c:pt idx="4">
                  <c:v>0</c:v>
                </c:pt>
              </c:numCache>
            </c:numRef>
          </c:cat>
          <c:val>
            <c:numRef>
              <c:f>'E3'!$E$9:$E$13</c:f>
              <c:numCache>
                <c:ptCount val="5"/>
                <c:pt idx="0">
                  <c:v>0</c:v>
                </c:pt>
                <c:pt idx="1">
                  <c:v>0</c:v>
                </c:pt>
                <c:pt idx="2">
                  <c:v>0</c:v>
                </c:pt>
                <c:pt idx="3">
                  <c:v>0</c:v>
                </c:pt>
                <c:pt idx="4">
                  <c:v>0</c:v>
                </c:pt>
              </c:numCache>
            </c:numRef>
          </c:val>
        </c:ser>
        <c:axId val="50013964"/>
        <c:axId val="47472493"/>
      </c:barChart>
      <c:catAx>
        <c:axId val="50013964"/>
        <c:scaling>
          <c:orientation val="minMax"/>
        </c:scaling>
        <c:axPos val="b"/>
        <c:title>
          <c:tx>
            <c:rich>
              <a:bodyPr vert="horz" rot="0" anchor="ctr"/>
              <a:lstStyle/>
              <a:p>
                <a:pPr algn="ctr">
                  <a:defRPr/>
                </a:pPr>
                <a:r>
                  <a:rPr lang="en-US" cap="none" sz="1000" b="1" i="0" u="none" baseline="0"/>
                  <a:t>dur?e de l'emprunt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47472493"/>
        <c:crosses val="autoZero"/>
        <c:auto val="1"/>
        <c:lblOffset val="100"/>
        <c:noMultiLvlLbl val="0"/>
      </c:catAx>
      <c:valAx>
        <c:axId val="47472493"/>
        <c:scaling>
          <c:orientation val="minMax"/>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50013964"/>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75" b="0" i="0" u="none" baseline="0">
          <a:latin typeface="Verdana"/>
          <a:ea typeface="Verdana"/>
          <a:cs typeface="Verdan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?volution de la part du capital restant d? apr?s 5 ans / capital emprunt? en fct de la dur?e de l'emprunt</a:t>
            </a:r>
          </a:p>
        </c:rich>
      </c:tx>
      <c:layout>
        <c:manualLayout>
          <c:xMode val="factor"/>
          <c:yMode val="factor"/>
          <c:x val="0.04925"/>
          <c:y val="0.005"/>
        </c:manualLayout>
      </c:layout>
      <c:spPr>
        <a:noFill/>
        <a:ln>
          <a:noFill/>
        </a:ln>
      </c:spPr>
    </c:title>
    <c:plotArea>
      <c:layout>
        <c:manualLayout>
          <c:xMode val="edge"/>
          <c:yMode val="edge"/>
          <c:x val="0.023"/>
          <c:y val="0.2255"/>
          <c:w val="0.95375"/>
          <c:h val="0.68075"/>
        </c:manualLayout>
      </c:layout>
      <c:scatterChart>
        <c:scatterStyle val="smoothMarker"/>
        <c:varyColors val="0"/>
        <c:ser>
          <c:idx val="1"/>
          <c:order val="0"/>
          <c:tx>
            <c:strRef>
              <c:f>'E3'!$E$8</c:f>
              <c:strCache>
                <c:ptCount val="1"/>
                <c:pt idx="0">
                  <c:v>Ratio</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xVal>
            <c:numRef>
              <c:f>'E3'!$B$9:$B$13</c:f>
              <c:numCache>
                <c:ptCount val="5"/>
                <c:pt idx="0">
                  <c:v>0</c:v>
                </c:pt>
                <c:pt idx="1">
                  <c:v>0</c:v>
                </c:pt>
                <c:pt idx="2">
                  <c:v>0</c:v>
                </c:pt>
                <c:pt idx="3">
                  <c:v>0</c:v>
                </c:pt>
                <c:pt idx="4">
                  <c:v>0</c:v>
                </c:pt>
              </c:numCache>
            </c:numRef>
          </c:xVal>
          <c:yVal>
            <c:numRef>
              <c:f>'E3'!$E$9:$E$13</c:f>
              <c:numCache>
                <c:ptCount val="5"/>
                <c:pt idx="0">
                  <c:v>0</c:v>
                </c:pt>
                <c:pt idx="1">
                  <c:v>0</c:v>
                </c:pt>
                <c:pt idx="2">
                  <c:v>0</c:v>
                </c:pt>
                <c:pt idx="3">
                  <c:v>0</c:v>
                </c:pt>
                <c:pt idx="4">
                  <c:v>0</c:v>
                </c:pt>
              </c:numCache>
            </c:numRef>
          </c:yVal>
          <c:smooth val="1"/>
        </c:ser>
        <c:axId val="24599254"/>
        <c:axId val="20066695"/>
      </c:scatterChart>
      <c:valAx>
        <c:axId val="24599254"/>
        <c:scaling>
          <c:orientation val="minMax"/>
          <c:max val="30"/>
          <c:min val="10"/>
        </c:scaling>
        <c:axPos val="b"/>
        <c:title>
          <c:tx>
            <c:rich>
              <a:bodyPr vert="horz" rot="0" anchor="ctr"/>
              <a:lstStyle/>
              <a:p>
                <a:pPr algn="ctr">
                  <a:defRPr/>
                </a:pPr>
                <a:r>
                  <a:rPr lang="en-US" cap="none" sz="900" b="1" i="0" u="none" baseline="0"/>
                  <a:t>dur?e de l'emprunt</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20066695"/>
        <c:crosses val="autoZero"/>
        <c:crossBetween val="midCat"/>
        <c:dispUnits/>
      </c:valAx>
      <c:valAx>
        <c:axId val="20066695"/>
        <c:scaling>
          <c:orientation val="minMax"/>
          <c:min val="0.4"/>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24599254"/>
        <c:crosses val="autoZero"/>
        <c:crossBetween val="midCat"/>
        <c:dispUnits/>
        <c:majorUnit val="0.2"/>
      </c:valAx>
      <c:spPr>
        <a:solidFill>
          <a:srgbClr val="FFFFFF"/>
        </a:solidFill>
        <a:ln w="12700">
          <a:solidFill>
            <a:srgbClr val="808080"/>
          </a:solidFill>
        </a:ln>
      </c:spPr>
    </c:plotArea>
    <c:plotVisOnly val="1"/>
    <c:dispBlanksAs val="gap"/>
    <c:showDLblsOverMax val="0"/>
  </c:chart>
  <c:txPr>
    <a:bodyPr vert="horz" rot="0"/>
    <a:lstStyle/>
    <a:p>
      <a:pPr>
        <a:defRPr lang="en-US" cap="none" sz="875" b="0" i="0" u="none" baseline="0">
          <a:latin typeface="Verdana"/>
          <a:ea typeface="Verdana"/>
          <a:cs typeface="Verdan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?volution du co?t relatif de l'emprunt en fct de la dur?e de l'emprunt</a:t>
            </a:r>
          </a:p>
        </c:rich>
      </c:tx>
      <c:layout>
        <c:manualLayout>
          <c:xMode val="factor"/>
          <c:yMode val="factor"/>
          <c:x val="0.04925"/>
          <c:y val="0.005"/>
        </c:manualLayout>
      </c:layout>
      <c:spPr>
        <a:noFill/>
        <a:ln>
          <a:noFill/>
        </a:ln>
      </c:spPr>
    </c:title>
    <c:plotArea>
      <c:layout>
        <c:manualLayout>
          <c:xMode val="edge"/>
          <c:yMode val="edge"/>
          <c:x val="0.023"/>
          <c:y val="0.19675"/>
          <c:w val="0.95375"/>
          <c:h val="0.71025"/>
        </c:manualLayout>
      </c:layout>
      <c:barChart>
        <c:barDir val="col"/>
        <c:grouping val="clustered"/>
        <c:varyColors val="0"/>
        <c:ser>
          <c:idx val="1"/>
          <c:order val="0"/>
          <c:tx>
            <c:strRef>
              <c:f>'E3'!$J$8</c:f>
              <c:strCache>
                <c:ptCount val="1"/>
                <c:pt idx="0">
                  <c:v>Co?t relatif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numRef>
              <c:f>'E3'!$G$9:$G$13</c:f>
              <c:numCache>
                <c:ptCount val="5"/>
                <c:pt idx="0">
                  <c:v>0</c:v>
                </c:pt>
                <c:pt idx="1">
                  <c:v>0</c:v>
                </c:pt>
                <c:pt idx="2">
                  <c:v>0</c:v>
                </c:pt>
                <c:pt idx="3">
                  <c:v>0</c:v>
                </c:pt>
                <c:pt idx="4">
                  <c:v>0</c:v>
                </c:pt>
              </c:numCache>
            </c:numRef>
          </c:cat>
          <c:val>
            <c:numRef>
              <c:f>'E3'!$J$9:$J$13</c:f>
              <c:numCache>
                <c:ptCount val="5"/>
                <c:pt idx="0">
                  <c:v>0</c:v>
                </c:pt>
                <c:pt idx="1">
                  <c:v>0</c:v>
                </c:pt>
                <c:pt idx="2">
                  <c:v>0</c:v>
                </c:pt>
                <c:pt idx="3">
                  <c:v>0</c:v>
                </c:pt>
                <c:pt idx="4">
                  <c:v>0</c:v>
                </c:pt>
              </c:numCache>
            </c:numRef>
          </c:val>
        </c:ser>
        <c:axId val="46382528"/>
        <c:axId val="14789569"/>
      </c:barChart>
      <c:catAx>
        <c:axId val="46382528"/>
        <c:scaling>
          <c:orientation val="minMax"/>
        </c:scaling>
        <c:axPos val="b"/>
        <c:title>
          <c:tx>
            <c:rich>
              <a:bodyPr vert="horz" rot="0" anchor="ctr"/>
              <a:lstStyle/>
              <a:p>
                <a:pPr algn="ctr">
                  <a:defRPr/>
                </a:pPr>
                <a:r>
                  <a:rPr lang="en-US" cap="none" sz="925" b="1" i="0" u="none" baseline="0"/>
                  <a:t>dur?e de l'emprunt</a:t>
                </a:r>
              </a:p>
            </c:rich>
          </c:tx>
          <c:layout/>
          <c:overlay val="0"/>
          <c:spPr>
            <a:noFill/>
            <a:ln>
              <a:noFill/>
            </a:ln>
          </c:spPr>
        </c:title>
        <c:delete val="0"/>
        <c:numFmt formatCode="General" sourceLinked="1"/>
        <c:majorTickMark val="out"/>
        <c:minorTickMark val="none"/>
        <c:tickLblPos val="nextTo"/>
        <c:txPr>
          <a:bodyPr/>
          <a:lstStyle/>
          <a:p>
            <a:pPr>
              <a:defRPr lang="en-US" cap="none" sz="925" b="0" i="0" u="none" baseline="0"/>
            </a:pPr>
          </a:p>
        </c:txPr>
        <c:crossAx val="14789569"/>
        <c:crosses val="autoZero"/>
        <c:auto val="1"/>
        <c:lblOffset val="100"/>
        <c:noMultiLvlLbl val="0"/>
      </c:catAx>
      <c:valAx>
        <c:axId val="14789569"/>
        <c:scaling>
          <c:orientation val="minMax"/>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925" b="0" i="0" u="none" baseline="0"/>
            </a:pPr>
          </a:p>
        </c:txPr>
        <c:crossAx val="46382528"/>
        <c:crossesAt val="1"/>
        <c:crossBetween val="between"/>
        <c:dispUnits/>
        <c:majorUnit val="0.2"/>
      </c:valAx>
      <c:spPr>
        <a:solidFill>
          <a:srgbClr val="FFFFFF"/>
        </a:solidFill>
        <a:ln w="12700">
          <a:solidFill>
            <a:srgbClr val="808080"/>
          </a:solidFill>
        </a:ln>
      </c:spPr>
    </c:plotArea>
    <c:plotVisOnly val="1"/>
    <c:dispBlanksAs val="gap"/>
    <c:showDLblsOverMax val="0"/>
  </c:chart>
  <c:txPr>
    <a:bodyPr vert="horz" rot="0"/>
    <a:lstStyle/>
    <a:p>
      <a:pPr>
        <a:defRPr lang="en-US" cap="none" sz="875" b="0" i="0" u="none" baseline="0">
          <a:latin typeface="Verdana"/>
          <a:ea typeface="Verdana"/>
          <a:cs typeface="Verdan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?volution du co?t relatif de l'emprunt en fct de la dur?e de l'emprunt</a:t>
            </a:r>
          </a:p>
        </c:rich>
      </c:tx>
      <c:layout>
        <c:manualLayout>
          <c:xMode val="factor"/>
          <c:yMode val="factor"/>
          <c:x val="0.04925"/>
          <c:y val="0.005"/>
        </c:manualLayout>
      </c:layout>
      <c:spPr>
        <a:noFill/>
        <a:ln>
          <a:noFill/>
        </a:ln>
      </c:spPr>
    </c:title>
    <c:plotArea>
      <c:layout>
        <c:manualLayout>
          <c:xMode val="edge"/>
          <c:yMode val="edge"/>
          <c:x val="0.023"/>
          <c:y val="0.1975"/>
          <c:w val="0.954"/>
          <c:h val="0.70925"/>
        </c:manualLayout>
      </c:layout>
      <c:scatterChart>
        <c:scatterStyle val="smoothMarker"/>
        <c:varyColors val="0"/>
        <c:ser>
          <c:idx val="1"/>
          <c:order val="0"/>
          <c:tx>
            <c:strRef>
              <c:f>'E3'!$J$8</c:f>
              <c:strCache>
                <c:ptCount val="1"/>
                <c:pt idx="0">
                  <c:v>Co?t relatif</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xVal>
            <c:numRef>
              <c:f>'E3'!$G$9:$G$13</c:f>
              <c:numCache>
                <c:ptCount val="5"/>
                <c:pt idx="0">
                  <c:v>0</c:v>
                </c:pt>
                <c:pt idx="1">
                  <c:v>0</c:v>
                </c:pt>
                <c:pt idx="2">
                  <c:v>0</c:v>
                </c:pt>
                <c:pt idx="3">
                  <c:v>0</c:v>
                </c:pt>
                <c:pt idx="4">
                  <c:v>0</c:v>
                </c:pt>
              </c:numCache>
            </c:numRef>
          </c:xVal>
          <c:yVal>
            <c:numRef>
              <c:f>'E3'!$J$9:$J$13</c:f>
              <c:numCache>
                <c:ptCount val="5"/>
                <c:pt idx="0">
                  <c:v>0</c:v>
                </c:pt>
                <c:pt idx="1">
                  <c:v>0</c:v>
                </c:pt>
                <c:pt idx="2">
                  <c:v>0</c:v>
                </c:pt>
                <c:pt idx="3">
                  <c:v>0</c:v>
                </c:pt>
                <c:pt idx="4">
                  <c:v>0</c:v>
                </c:pt>
              </c:numCache>
            </c:numRef>
          </c:yVal>
          <c:smooth val="1"/>
        </c:ser>
        <c:axId val="65997258"/>
        <c:axId val="57104411"/>
      </c:scatterChart>
      <c:valAx>
        <c:axId val="65997258"/>
        <c:scaling>
          <c:orientation val="minMax"/>
          <c:max val="30"/>
          <c:min val="10"/>
        </c:scaling>
        <c:axPos val="b"/>
        <c:title>
          <c:tx>
            <c:rich>
              <a:bodyPr vert="horz" rot="0" anchor="ctr"/>
              <a:lstStyle/>
              <a:p>
                <a:pPr algn="ctr">
                  <a:defRPr/>
                </a:pPr>
                <a:r>
                  <a:rPr lang="en-US" cap="none" sz="900" b="1" i="0" u="none" baseline="0"/>
                  <a:t>dur?e de l'emprunt</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57104411"/>
        <c:crosses val="autoZero"/>
        <c:crossBetween val="midCat"/>
        <c:dispUnits/>
      </c:valAx>
      <c:valAx>
        <c:axId val="57104411"/>
        <c:scaling>
          <c:orientation val="minMax"/>
          <c:max val="0.8"/>
          <c:min val="0.2"/>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65997258"/>
        <c:crosses val="autoZero"/>
        <c:crossBetween val="midCat"/>
        <c:dispUnits/>
        <c:majorUnit val="0.2"/>
      </c:valAx>
      <c:spPr>
        <a:solidFill>
          <a:srgbClr val="FFFFFF"/>
        </a:solidFill>
        <a:ln w="12700">
          <a:solidFill>
            <a:srgbClr val="808080"/>
          </a:solidFill>
        </a:ln>
      </c:spPr>
    </c:plotArea>
    <c:plotVisOnly val="1"/>
    <c:dispBlanksAs val="gap"/>
    <c:showDLblsOverMax val="0"/>
  </c:chart>
  <c:txPr>
    <a:bodyPr vert="horz" rot="0"/>
    <a:lstStyle/>
    <a:p>
      <a:pPr>
        <a:defRPr lang="en-US" cap="none" sz="875" b="0" i="0" u="none" baseline="0">
          <a:latin typeface="Verdana"/>
          <a:ea typeface="Verdana"/>
          <a:cs typeface="Verdan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800000"/>
                </a:solidFill>
              </a:rPr>
              <a:t>Allongement de la dur?e de remboursement fct des impossiblit?s financi?res</a:t>
            </a:r>
          </a:p>
        </c:rich>
      </c:tx>
      <c:layout/>
      <c:spPr>
        <a:noFill/>
        <a:ln>
          <a:noFill/>
        </a:ln>
      </c:spPr>
    </c:title>
    <c:plotArea>
      <c:layout>
        <c:manualLayout>
          <c:xMode val="edge"/>
          <c:yMode val="edge"/>
          <c:x val="0.0275"/>
          <c:y val="0.183"/>
          <c:w val="0.94525"/>
          <c:h val="0.7795"/>
        </c:manualLayout>
      </c:layout>
      <c:scatterChart>
        <c:scatterStyle val="smoothMarker"/>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'E4'!$B$61:$B$64</c:f>
              <c:numCache>
                <c:ptCount val="4"/>
                <c:pt idx="0">
                  <c:v>0</c:v>
                </c:pt>
                <c:pt idx="1">
                  <c:v>0</c:v>
                </c:pt>
                <c:pt idx="2">
                  <c:v>0</c:v>
                </c:pt>
                <c:pt idx="3">
                  <c:v>0</c:v>
                </c:pt>
              </c:numCache>
            </c:numRef>
          </c:xVal>
          <c:yVal>
            <c:numRef>
              <c:f>'E4'!$D$61:$D$64</c:f>
              <c:numCache>
                <c:ptCount val="4"/>
                <c:pt idx="0">
                  <c:v>0</c:v>
                </c:pt>
                <c:pt idx="1">
                  <c:v>0</c:v>
                </c:pt>
                <c:pt idx="2">
                  <c:v>0</c:v>
                </c:pt>
                <c:pt idx="3">
                  <c:v>0</c:v>
                </c:pt>
              </c:numCache>
            </c:numRef>
          </c:yVal>
          <c:smooth val="1"/>
        </c:ser>
        <c:axId val="44177652"/>
        <c:axId val="62054549"/>
      </c:scatterChart>
      <c:valAx>
        <c:axId val="44177652"/>
        <c:scaling>
          <c:orientation val="minMax"/>
          <c:max val="0.3"/>
        </c:scaling>
        <c:axPos val="b"/>
        <c:delete val="0"/>
        <c:numFmt formatCode="General" sourceLinked="1"/>
        <c:majorTickMark val="out"/>
        <c:minorTickMark val="none"/>
        <c:tickLblPos val="nextTo"/>
        <c:txPr>
          <a:bodyPr/>
          <a:lstStyle/>
          <a:p>
            <a:pPr>
              <a:defRPr lang="en-US" cap="none" sz="975" b="0" i="0" u="none" baseline="0">
                <a:solidFill>
                  <a:srgbClr val="0000D4"/>
                </a:solidFill>
              </a:defRPr>
            </a:pPr>
          </a:p>
        </c:txPr>
        <c:crossAx val="62054549"/>
        <c:crosses val="autoZero"/>
        <c:crossBetween val="midCat"/>
        <c:dispUnits/>
      </c:valAx>
      <c:valAx>
        <c:axId val="62054549"/>
        <c:scaling>
          <c:orientation val="minMax"/>
          <c:max val="250"/>
        </c:scaling>
        <c:axPos val="l"/>
        <c:majorGridlines>
          <c:spPr>
            <a:ln w="3175">
              <a:solidFill/>
              <a:prstDash val="sysDot"/>
            </a:ln>
          </c:spPr>
        </c:majorGridlines>
        <c:delete val="0"/>
        <c:numFmt formatCode="0_ ;[Red]\-0\ " sourceLinked="0"/>
        <c:majorTickMark val="out"/>
        <c:minorTickMark val="none"/>
        <c:tickLblPos val="nextTo"/>
        <c:txPr>
          <a:bodyPr/>
          <a:lstStyle/>
          <a:p>
            <a:pPr>
              <a:defRPr lang="en-US" cap="none" sz="975" b="1" i="0" u="none" baseline="0">
                <a:solidFill>
                  <a:srgbClr val="900000"/>
                </a:solidFill>
              </a:defRPr>
            </a:pPr>
          </a:p>
        </c:txPr>
        <c:crossAx val="44177652"/>
        <c:crosses val="autoZero"/>
        <c:crossBetween val="midCat"/>
        <c:dispUnits/>
      </c:valAx>
      <c:spPr>
        <a:gradFill rotWithShape="1">
          <a:gsLst>
            <a:gs pos="0">
              <a:srgbClr val="75465E"/>
            </a:gs>
            <a:gs pos="100000">
              <a:srgbClr val="FF99CC"/>
            </a:gs>
          </a:gsLst>
          <a:lin ang="5400000" scaled="1"/>
        </a:gradFill>
        <a:ln w="12700">
          <a:solidFill>
            <a:srgbClr val="808080"/>
          </a:solidFill>
        </a:ln>
      </c:spPr>
    </c:plotArea>
    <c:plotVisOnly val="1"/>
    <c:dispBlanksAs val="gap"/>
    <c:showDLblsOverMax val="0"/>
  </c:chart>
  <c:spPr>
    <a:gradFill rotWithShape="1">
      <a:gsLst>
        <a:gs pos="0">
          <a:srgbClr val="FFCC99"/>
        </a:gs>
        <a:gs pos="100000">
          <a:srgbClr val="755E46"/>
        </a:gs>
      </a:gsLst>
      <a:lin ang="5400000" scaled="1"/>
    </a:gradFill>
  </c:spPr>
  <c:txPr>
    <a:bodyPr vert="horz" rot="0"/>
    <a:lstStyle/>
    <a:p>
      <a:pPr>
        <a:defRPr lang="en-US" cap="none" sz="900" b="0" i="0" u="none" baseline="0">
          <a:latin typeface="Verdana"/>
          <a:ea typeface="Verdana"/>
          <a:cs typeface="Verdana"/>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42</xdr:row>
      <xdr:rowOff>28575</xdr:rowOff>
    </xdr:from>
    <xdr:to>
      <xdr:col>5</xdr:col>
      <xdr:colOff>790575</xdr:colOff>
      <xdr:row>48</xdr:row>
      <xdr:rowOff>95250</xdr:rowOff>
    </xdr:to>
    <xdr:sp>
      <xdr:nvSpPr>
        <xdr:cNvPr id="1" name="Shape 5"/>
        <xdr:cNvSpPr txBox="1">
          <a:spLocks noChangeArrowheads="1"/>
        </xdr:cNvSpPr>
      </xdr:nvSpPr>
      <xdr:spPr>
        <a:xfrm>
          <a:off x="85725" y="7010400"/>
          <a:ext cx="5067300" cy="10382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1" i="0" u="none" baseline="0">
              <a:solidFill>
                <a:srgbClr val="0000FF"/>
              </a:solidFill>
              <a:latin typeface="Verdana"/>
              <a:ea typeface="Verdana"/>
              <a:cs typeface="Verdana"/>
            </a:rPr>
            <a:t>Indications :
</a:t>
          </a:r>
          <a:r>
            <a:rPr lang="en-US" cap="none" sz="1000" b="0" i="0" u="none" baseline="0">
              <a:solidFill>
                <a:srgbClr val="0000FF"/>
              </a:solidFill>
              <a:latin typeface="Verdana"/>
              <a:ea typeface="Verdana"/>
              <a:cs typeface="Verdana"/>
            </a:rPr>
            <a:t>On peut obtenir le second échéancier en recopiant l'ensemble de ce qui a été fait précédemment (cellules A3 à F40) et en changeant seulement l'intitulé et la valeur de la périodicité.
Dans l'échénacier, il faudra également adapter les références absolues dans les appels de INTPER et PRINCPER. </a:t>
          </a:r>
        </a:p>
      </xdr:txBody>
    </xdr:sp>
    <xdr:clientData/>
  </xdr:twoCellAnchor>
  <xdr:twoCellAnchor>
    <xdr:from>
      <xdr:col>3</xdr:col>
      <xdr:colOff>561975</xdr:colOff>
      <xdr:row>2</xdr:row>
      <xdr:rowOff>133350</xdr:rowOff>
    </xdr:from>
    <xdr:to>
      <xdr:col>6</xdr:col>
      <xdr:colOff>19050</xdr:colOff>
      <xdr:row>7</xdr:row>
      <xdr:rowOff>9525</xdr:rowOff>
    </xdr:to>
    <xdr:sp>
      <xdr:nvSpPr>
        <xdr:cNvPr id="2" name="Shape 6"/>
        <xdr:cNvSpPr txBox="1">
          <a:spLocks noChangeArrowheads="1"/>
        </xdr:cNvSpPr>
      </xdr:nvSpPr>
      <xdr:spPr>
        <a:xfrm>
          <a:off x="3248025" y="457200"/>
          <a:ext cx="1971675" cy="68580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solidFill>
                <a:srgbClr val="0000FF"/>
              </a:solidFill>
              <a:latin typeface="Verdana"/>
              <a:ea typeface="Verdana"/>
              <a:cs typeface="Verdana"/>
            </a:rPr>
            <a:t>La comparaison entre les deux périodicité de remboursement est établie sous le second échancier.</a:t>
          </a:r>
        </a:p>
      </xdr:txBody>
    </xdr:sp>
    <xdr:clientData/>
  </xdr:twoCellAnchor>
  <xdr:twoCellAnchor>
    <xdr:from>
      <xdr:col>5</xdr:col>
      <xdr:colOff>590550</xdr:colOff>
      <xdr:row>7</xdr:row>
      <xdr:rowOff>85725</xdr:rowOff>
    </xdr:from>
    <xdr:to>
      <xdr:col>6</xdr:col>
      <xdr:colOff>9525</xdr:colOff>
      <xdr:row>10</xdr:row>
      <xdr:rowOff>123825</xdr:rowOff>
    </xdr:to>
    <xdr:sp>
      <xdr:nvSpPr>
        <xdr:cNvPr id="3" name="Shape 7"/>
        <xdr:cNvSpPr>
          <a:spLocks/>
        </xdr:cNvSpPr>
      </xdr:nvSpPr>
      <xdr:spPr>
        <a:xfrm>
          <a:off x="4953000" y="1219200"/>
          <a:ext cx="257175" cy="523875"/>
        </a:xfrm>
        <a:prstGeom prst="down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695325</xdr:colOff>
      <xdr:row>0</xdr:row>
      <xdr:rowOff>95250</xdr:rowOff>
    </xdr:from>
    <xdr:to>
      <xdr:col>8</xdr:col>
      <xdr:colOff>800100</xdr:colOff>
      <xdr:row>8</xdr:row>
      <xdr:rowOff>66675</xdr:rowOff>
    </xdr:to>
    <xdr:sp>
      <xdr:nvSpPr>
        <xdr:cNvPr id="1" name="TextBox 1"/>
        <xdr:cNvSpPr txBox="1">
          <a:spLocks noChangeArrowheads="1"/>
        </xdr:cNvSpPr>
      </xdr:nvSpPr>
      <xdr:spPr>
        <a:xfrm>
          <a:off x="3352800" y="95250"/>
          <a:ext cx="4267200" cy="12858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1" i="0" u="none" baseline="0">
              <a:solidFill>
                <a:srgbClr val="0000FF"/>
              </a:solidFill>
              <a:latin typeface="Verdana"/>
              <a:ea typeface="Verdana"/>
              <a:cs typeface="Verdana"/>
            </a:rPr>
            <a:t>Commentaires :
</a:t>
          </a:r>
          <a:r>
            <a:rPr lang="en-US" cap="none" sz="1000" b="0" i="0" u="none" baseline="0">
              <a:solidFill>
                <a:srgbClr val="0000FF"/>
              </a:solidFill>
              <a:latin typeface="Verdana"/>
              <a:ea typeface="Verdana"/>
              <a:cs typeface="Verdana"/>
            </a:rPr>
            <a:t>Le début de l'échéancier est le même que celui calculé à la question précédente. Il a été recopié par valeurs et seules les première et dernière lignes ont été conservées.
On recalcule la fin de l'échéancier à partir de la période 37 en prenant en compte le capital rrestant dû au début deu 37ème trimestre, la nouvelle valeur du taux mensuel et la durée résiduellede remboursement de l'emrpunt.
</a:t>
          </a:r>
        </a:p>
      </xdr:txBody>
    </xdr:sp>
    <xdr:clientData/>
  </xdr:twoCellAnchor>
  <xdr:twoCellAnchor>
    <xdr:from>
      <xdr:col>3</xdr:col>
      <xdr:colOff>695325</xdr:colOff>
      <xdr:row>8</xdr:row>
      <xdr:rowOff>133350</xdr:rowOff>
    </xdr:from>
    <xdr:to>
      <xdr:col>9</xdr:col>
      <xdr:colOff>0</xdr:colOff>
      <xdr:row>14</xdr:row>
      <xdr:rowOff>0</xdr:rowOff>
    </xdr:to>
    <xdr:sp>
      <xdr:nvSpPr>
        <xdr:cNvPr id="2" name="Shape 2"/>
        <xdr:cNvSpPr txBox="1">
          <a:spLocks noChangeArrowheads="1"/>
        </xdr:cNvSpPr>
      </xdr:nvSpPr>
      <xdr:spPr>
        <a:xfrm>
          <a:off x="3352800" y="1447800"/>
          <a:ext cx="4305300" cy="83820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1" i="0" u="none" baseline="0">
              <a:solidFill>
                <a:srgbClr val="0000FF"/>
              </a:solidFill>
              <a:latin typeface="Verdana"/>
              <a:ea typeface="Verdana"/>
              <a:cs typeface="Verdana"/>
            </a:rPr>
            <a:t>Astuce :</a:t>
          </a:r>
          <a:r>
            <a:rPr lang="en-US" cap="none" sz="1000" b="0" i="0" u="none" baseline="0">
              <a:solidFill>
                <a:srgbClr val="0000FF"/>
              </a:solidFill>
              <a:latin typeface="Verdana"/>
              <a:ea typeface="Verdana"/>
              <a:cs typeface="Verdana"/>
            </a:rPr>
            <a:t>
Les deux cas : avec / sans pénalité peuvent être envisagés simultanément en utilisant une case dans laquelle on a introduit le choix d'un coefficient de pénalité nul ou de 0,5% venant multiplié par le capital restant dû augmenter la mensualité 36.</a:t>
          </a:r>
        </a:p>
      </xdr:txBody>
    </xdr:sp>
    <xdr:clientData/>
  </xdr:twoCellAnchor>
  <xdr:twoCellAnchor>
    <xdr:from>
      <xdr:col>3</xdr:col>
      <xdr:colOff>247650</xdr:colOff>
      <xdr:row>9</xdr:row>
      <xdr:rowOff>114300</xdr:rowOff>
    </xdr:from>
    <xdr:to>
      <xdr:col>3</xdr:col>
      <xdr:colOff>533400</xdr:colOff>
      <xdr:row>11</xdr:row>
      <xdr:rowOff>76200</xdr:rowOff>
    </xdr:to>
    <xdr:sp>
      <xdr:nvSpPr>
        <xdr:cNvPr id="3" name="Shape 3"/>
        <xdr:cNvSpPr>
          <a:spLocks/>
        </xdr:cNvSpPr>
      </xdr:nvSpPr>
      <xdr:spPr>
        <a:xfrm>
          <a:off x="2905125" y="1590675"/>
          <a:ext cx="295275" cy="285750"/>
        </a:xfrm>
        <a:prstGeom prst="leftArrow">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123825</xdr:rowOff>
    </xdr:from>
    <xdr:to>
      <xdr:col>5</xdr:col>
      <xdr:colOff>819150</xdr:colOff>
      <xdr:row>14</xdr:row>
      <xdr:rowOff>152400</xdr:rowOff>
    </xdr:to>
    <xdr:sp>
      <xdr:nvSpPr>
        <xdr:cNvPr id="1" name="TextBox 1"/>
        <xdr:cNvSpPr txBox="1">
          <a:spLocks noChangeArrowheads="1"/>
        </xdr:cNvSpPr>
      </xdr:nvSpPr>
      <xdr:spPr>
        <a:xfrm>
          <a:off x="904875" y="1457325"/>
          <a:ext cx="4181475" cy="10001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1" i="0" u="none" baseline="0">
              <a:solidFill>
                <a:srgbClr val="0000FF"/>
              </a:solidFill>
              <a:latin typeface="Verdana"/>
              <a:ea typeface="Verdana"/>
              <a:cs typeface="Verdana"/>
            </a:rPr>
            <a:t>Commentaires :</a:t>
          </a:r>
          <a:r>
            <a:rPr lang="en-US" cap="none" sz="1000" b="0" i="0" u="none" baseline="0">
              <a:solidFill>
                <a:srgbClr val="0000FF"/>
              </a:solidFill>
              <a:latin typeface="Verdana"/>
              <a:ea typeface="Verdana"/>
              <a:cs typeface="Verdana"/>
            </a:rPr>
            <a:t>
On écrit un échéancier trimestriel. 
Selon les différentes périodes (1ère année, 2ème année, 4 années restantes) les trimestrialités varient prenant en compte les conditions fixées par la banque et prenant en compte les possiblités de remboursement de son client.</a:t>
          </a:r>
        </a:p>
      </xdr:txBody>
    </xdr:sp>
    <xdr:clientData/>
  </xdr:twoCellAnchor>
  <xdr:twoCellAnchor>
    <xdr:from>
      <xdr:col>1</xdr:col>
      <xdr:colOff>19050</xdr:colOff>
      <xdr:row>43</xdr:row>
      <xdr:rowOff>66675</xdr:rowOff>
    </xdr:from>
    <xdr:to>
      <xdr:col>5</xdr:col>
      <xdr:colOff>819150</xdr:colOff>
      <xdr:row>48</xdr:row>
      <xdr:rowOff>85725</xdr:rowOff>
    </xdr:to>
    <xdr:sp>
      <xdr:nvSpPr>
        <xdr:cNvPr id="2" name="Shape 3"/>
        <xdr:cNvSpPr txBox="1">
          <a:spLocks noChangeArrowheads="1"/>
        </xdr:cNvSpPr>
      </xdr:nvSpPr>
      <xdr:spPr>
        <a:xfrm>
          <a:off x="904875" y="7429500"/>
          <a:ext cx="4181475" cy="82867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000" b="1" i="0" u="none" baseline="0">
              <a:solidFill>
                <a:srgbClr val="800000"/>
              </a:solidFill>
              <a:latin typeface="Verdana"/>
              <a:ea typeface="Verdana"/>
              <a:cs typeface="Verdana"/>
            </a:rPr>
            <a:t>Important :</a:t>
          </a:r>
          <a:r>
            <a:rPr lang="en-US" cap="none" sz="1000" b="0" i="0" u="none" baseline="0">
              <a:solidFill>
                <a:srgbClr val="800000"/>
              </a:solidFill>
              <a:latin typeface="Verdana"/>
              <a:ea typeface="Verdana"/>
              <a:cs typeface="Verdana"/>
            </a:rPr>
            <a:t>
Pendant l'année de différé partiel : les amortissement sont nuls.
Pendant l'année de différé total : les trimestrialités sont nulles.
Pendant ces deux années on a toujours : 
trimestiralité = intérêts + amortissement</a:t>
          </a:r>
        </a:p>
      </xdr:txBody>
    </xdr:sp>
    <xdr:clientData/>
  </xdr:twoCellAnchor>
  <xdr:twoCellAnchor>
    <xdr:from>
      <xdr:col>1</xdr:col>
      <xdr:colOff>19050</xdr:colOff>
      <xdr:row>49</xdr:row>
      <xdr:rowOff>66675</xdr:rowOff>
    </xdr:from>
    <xdr:to>
      <xdr:col>5</xdr:col>
      <xdr:colOff>819150</xdr:colOff>
      <xdr:row>54</xdr:row>
      <xdr:rowOff>123825</xdr:rowOff>
    </xdr:to>
    <xdr:sp>
      <xdr:nvSpPr>
        <xdr:cNvPr id="3" name="Shape 4"/>
        <xdr:cNvSpPr txBox="1">
          <a:spLocks noChangeArrowheads="1"/>
        </xdr:cNvSpPr>
      </xdr:nvSpPr>
      <xdr:spPr>
        <a:xfrm>
          <a:off x="904875" y="8401050"/>
          <a:ext cx="4181475" cy="8667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1" i="0" u="none" baseline="0">
              <a:latin typeface="Verdana"/>
              <a:ea typeface="Verdana"/>
              <a:cs typeface="Verdana"/>
            </a:rPr>
            <a:t>Conséquences :</a:t>
          </a:r>
          <a:r>
            <a:rPr lang="en-US" cap="none" sz="1000" b="0" i="0" u="none" baseline="0">
              <a:latin typeface="Verdana"/>
              <a:ea typeface="Verdana"/>
              <a:cs typeface="Verdana"/>
            </a:rPr>
            <a:t>
Pendant l'année de différé partiel : la trimstrialité est égale aux intérêts, le capital restant dû reste égal au capital emprunté.
Pendant l'année de différé total : l'amortissement est négatif et le capital restant dû augmente.</a:t>
          </a:r>
        </a:p>
      </xdr:txBody>
    </xdr:sp>
    <xdr:clientData/>
  </xdr:twoCellAnchor>
  <xdr:twoCellAnchor>
    <xdr:from>
      <xdr:col>0</xdr:col>
      <xdr:colOff>161925</xdr:colOff>
      <xdr:row>56</xdr:row>
      <xdr:rowOff>66675</xdr:rowOff>
    </xdr:from>
    <xdr:to>
      <xdr:col>5</xdr:col>
      <xdr:colOff>819150</xdr:colOff>
      <xdr:row>57</xdr:row>
      <xdr:rowOff>152400</xdr:rowOff>
    </xdr:to>
    <xdr:sp>
      <xdr:nvSpPr>
        <xdr:cNvPr id="4" name="Shape 5"/>
        <xdr:cNvSpPr txBox="1">
          <a:spLocks noChangeArrowheads="1"/>
        </xdr:cNvSpPr>
      </xdr:nvSpPr>
      <xdr:spPr>
        <a:xfrm>
          <a:off x="161925" y="9534525"/>
          <a:ext cx="4924425"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Verdana"/>
              <a:ea typeface="Verdana"/>
              <a:cs typeface="Verdana"/>
            </a:rPr>
            <a:t>Q2 : </a:t>
          </a:r>
          <a:r>
            <a:rPr lang="en-US" cap="none" sz="1000" b="0" i="0" u="none" baseline="0">
              <a:latin typeface="Verdana"/>
              <a:ea typeface="Verdana"/>
              <a:cs typeface="Verdana"/>
            </a:rPr>
            <a:t>Quand auratil remboursé 50% du capital emprunté ? </a:t>
          </a:r>
        </a:p>
      </xdr:txBody>
    </xdr:sp>
    <xdr:clientData/>
  </xdr:twoCellAnchor>
  <xdr:twoCellAnchor>
    <xdr:from>
      <xdr:col>0</xdr:col>
      <xdr:colOff>142875</xdr:colOff>
      <xdr:row>58</xdr:row>
      <xdr:rowOff>114300</xdr:rowOff>
    </xdr:from>
    <xdr:to>
      <xdr:col>5</xdr:col>
      <xdr:colOff>819150</xdr:colOff>
      <xdr:row>61</xdr:row>
      <xdr:rowOff>28575</xdr:rowOff>
    </xdr:to>
    <xdr:sp>
      <xdr:nvSpPr>
        <xdr:cNvPr id="5" name="Shape 6"/>
        <xdr:cNvSpPr txBox="1">
          <a:spLocks noChangeArrowheads="1"/>
        </xdr:cNvSpPr>
      </xdr:nvSpPr>
      <xdr:spPr>
        <a:xfrm>
          <a:off x="142875" y="9906000"/>
          <a:ext cx="4943475" cy="400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Verdana"/>
              <a:ea typeface="Verdana"/>
              <a:cs typeface="Verdana"/>
            </a:rPr>
            <a:t>Entre la date 17 et la date 18, autrement dit au cours du 17ème trimestre, soit au cours du premier trimestre de la 5ème année.</a:t>
          </a:r>
        </a:p>
      </xdr:txBody>
    </xdr:sp>
    <xdr:clientData/>
  </xdr:twoCellAnchor>
  <xdr:twoCellAnchor>
    <xdr:from>
      <xdr:col>0</xdr:col>
      <xdr:colOff>142875</xdr:colOff>
      <xdr:row>62</xdr:row>
      <xdr:rowOff>0</xdr:rowOff>
    </xdr:from>
    <xdr:to>
      <xdr:col>5</xdr:col>
      <xdr:colOff>828675</xdr:colOff>
      <xdr:row>71</xdr:row>
      <xdr:rowOff>123825</xdr:rowOff>
    </xdr:to>
    <xdr:sp>
      <xdr:nvSpPr>
        <xdr:cNvPr id="6" name="Shape 7"/>
        <xdr:cNvSpPr txBox="1">
          <a:spLocks noChangeArrowheads="1"/>
        </xdr:cNvSpPr>
      </xdr:nvSpPr>
      <xdr:spPr>
        <a:xfrm>
          <a:off x="142875" y="10439400"/>
          <a:ext cx="4953000" cy="15811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1" i="0" u="none" baseline="0">
              <a:solidFill>
                <a:srgbClr val="0000FF"/>
              </a:solidFill>
              <a:latin typeface="Verdana"/>
              <a:ea typeface="Verdana"/>
              <a:cs typeface="Verdana"/>
            </a:rPr>
            <a:t>Pour calculer cette valeur avec la fonction NPM : 
syntaxe : </a:t>
          </a:r>
          <a:r>
            <a:rPr lang="en-US" cap="none" sz="1000" b="0" i="0" u="none" baseline="0">
              <a:solidFill>
                <a:srgbClr val="0000FF"/>
              </a:solidFill>
              <a:latin typeface="Verdana"/>
              <a:ea typeface="Verdana"/>
              <a:cs typeface="Verdana"/>
            </a:rPr>
            <a:t>NPM(taux;vpm;va;[vc];[type])
ce qui et délicat c'est le choix des paramètres à prendre comme arguments de la fonction NPM ainsi que les signes à donner aux  sommes entrant dans ce calcul. 
À la date 9 le capital dû est égal à 53 030,20 € et oncherche à quelle date il ne sera plus que de 25000€ sachant que l'empruntur verse 3593,14 € chaque fin de trimestre.  
Tous ces paramètres sont rappelés dans un cartouche de données utilisé par la fonciton NPM.</a:t>
          </a:r>
        </a:p>
      </xdr:txBody>
    </xdr:sp>
    <xdr:clientData/>
  </xdr:twoCellAnchor>
  <xdr:twoCellAnchor>
    <xdr:from>
      <xdr:col>1</xdr:col>
      <xdr:colOff>247650</xdr:colOff>
      <xdr:row>82</xdr:row>
      <xdr:rowOff>47625</xdr:rowOff>
    </xdr:from>
    <xdr:to>
      <xdr:col>1</xdr:col>
      <xdr:colOff>581025</xdr:colOff>
      <xdr:row>82</xdr:row>
      <xdr:rowOff>123825</xdr:rowOff>
    </xdr:to>
    <xdr:sp>
      <xdr:nvSpPr>
        <xdr:cNvPr id="7" name="Shape 8"/>
        <xdr:cNvSpPr>
          <a:spLocks/>
        </xdr:cNvSpPr>
      </xdr:nvSpPr>
      <xdr:spPr>
        <a:xfrm>
          <a:off x="1133475" y="13725525"/>
          <a:ext cx="333375" cy="76200"/>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13</xdr:row>
      <xdr:rowOff>133350</xdr:rowOff>
    </xdr:from>
    <xdr:to>
      <xdr:col>5</xdr:col>
      <xdr:colOff>209550</xdr:colOff>
      <xdr:row>30</xdr:row>
      <xdr:rowOff>28575</xdr:rowOff>
    </xdr:to>
    <xdr:graphicFrame>
      <xdr:nvGraphicFramePr>
        <xdr:cNvPr id="1" name="Shape 1"/>
        <xdr:cNvGraphicFramePr/>
      </xdr:nvGraphicFramePr>
      <xdr:xfrm>
        <a:off x="466725" y="2562225"/>
        <a:ext cx="3933825" cy="2647950"/>
      </xdr:xfrm>
      <a:graphic>
        <a:graphicData uri="http://schemas.openxmlformats.org/drawingml/2006/chart">
          <c:chart xmlns:c="http://schemas.openxmlformats.org/drawingml/2006/chart" r:id="rId1"/>
        </a:graphicData>
      </a:graphic>
    </xdr:graphicFrame>
    <xdr:clientData/>
  </xdr:twoCellAnchor>
  <xdr:twoCellAnchor>
    <xdr:from>
      <xdr:col>0</xdr:col>
      <xdr:colOff>466725</xdr:colOff>
      <xdr:row>30</xdr:row>
      <xdr:rowOff>85725</xdr:rowOff>
    </xdr:from>
    <xdr:to>
      <xdr:col>5</xdr:col>
      <xdr:colOff>219075</xdr:colOff>
      <xdr:row>46</xdr:row>
      <xdr:rowOff>123825</xdr:rowOff>
    </xdr:to>
    <xdr:graphicFrame>
      <xdr:nvGraphicFramePr>
        <xdr:cNvPr id="2" name="Shape 2"/>
        <xdr:cNvGraphicFramePr/>
      </xdr:nvGraphicFramePr>
      <xdr:xfrm>
        <a:off x="466725" y="5267325"/>
        <a:ext cx="3943350" cy="2628900"/>
      </xdr:xfrm>
      <a:graphic>
        <a:graphicData uri="http://schemas.openxmlformats.org/drawingml/2006/chart">
          <c:chart xmlns:c="http://schemas.openxmlformats.org/drawingml/2006/chart" r:id="rId2"/>
        </a:graphicData>
      </a:graphic>
    </xdr:graphicFrame>
    <xdr:clientData/>
  </xdr:twoCellAnchor>
  <xdr:twoCellAnchor>
    <xdr:from>
      <xdr:col>5</xdr:col>
      <xdr:colOff>638175</xdr:colOff>
      <xdr:row>13</xdr:row>
      <xdr:rowOff>123825</xdr:rowOff>
    </xdr:from>
    <xdr:to>
      <xdr:col>10</xdr:col>
      <xdr:colOff>295275</xdr:colOff>
      <xdr:row>30</xdr:row>
      <xdr:rowOff>28575</xdr:rowOff>
    </xdr:to>
    <xdr:graphicFrame>
      <xdr:nvGraphicFramePr>
        <xdr:cNvPr id="3" name="Shape 7"/>
        <xdr:cNvGraphicFramePr/>
      </xdr:nvGraphicFramePr>
      <xdr:xfrm>
        <a:off x="4829175" y="2552700"/>
        <a:ext cx="3924300" cy="2657475"/>
      </xdr:xfrm>
      <a:graphic>
        <a:graphicData uri="http://schemas.openxmlformats.org/drawingml/2006/chart">
          <c:chart xmlns:c="http://schemas.openxmlformats.org/drawingml/2006/chart" r:id="rId3"/>
        </a:graphicData>
      </a:graphic>
    </xdr:graphicFrame>
    <xdr:clientData/>
  </xdr:twoCellAnchor>
  <xdr:twoCellAnchor>
    <xdr:from>
      <xdr:col>5</xdr:col>
      <xdr:colOff>647700</xdr:colOff>
      <xdr:row>30</xdr:row>
      <xdr:rowOff>76200</xdr:rowOff>
    </xdr:from>
    <xdr:to>
      <xdr:col>10</xdr:col>
      <xdr:colOff>314325</xdr:colOff>
      <xdr:row>46</xdr:row>
      <xdr:rowOff>123825</xdr:rowOff>
    </xdr:to>
    <xdr:graphicFrame>
      <xdr:nvGraphicFramePr>
        <xdr:cNvPr id="4" name="Shape 8"/>
        <xdr:cNvGraphicFramePr/>
      </xdr:nvGraphicFramePr>
      <xdr:xfrm>
        <a:off x="4838700" y="5257800"/>
        <a:ext cx="3933825" cy="263842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523875</xdr:colOff>
      <xdr:row>56</xdr:row>
      <xdr:rowOff>133350</xdr:rowOff>
    </xdr:from>
    <xdr:to>
      <xdr:col>8</xdr:col>
      <xdr:colOff>9525</xdr:colOff>
      <xdr:row>71</xdr:row>
      <xdr:rowOff>9525</xdr:rowOff>
    </xdr:to>
    <xdr:graphicFrame>
      <xdr:nvGraphicFramePr>
        <xdr:cNvPr id="1" name="Chart 1"/>
        <xdr:cNvGraphicFramePr/>
      </xdr:nvGraphicFramePr>
      <xdr:xfrm>
        <a:off x="4352925" y="9353550"/>
        <a:ext cx="3286125" cy="2752725"/>
      </xdr:xfrm>
      <a:graphic>
        <a:graphicData uri="http://schemas.openxmlformats.org/drawingml/2006/chart">
          <c:chart xmlns:c="http://schemas.openxmlformats.org/drawingml/2006/chart" r:id="rId1"/>
        </a:graphicData>
      </a:graphic>
    </xdr:graphicFrame>
    <xdr:clientData/>
  </xdr:twoCellAnchor>
  <xdr:twoCellAnchor>
    <xdr:from>
      <xdr:col>2</xdr:col>
      <xdr:colOff>219075</xdr:colOff>
      <xdr:row>15</xdr:row>
      <xdr:rowOff>28575</xdr:rowOff>
    </xdr:from>
    <xdr:to>
      <xdr:col>2</xdr:col>
      <xdr:colOff>476250</xdr:colOff>
      <xdr:row>16</xdr:row>
      <xdr:rowOff>9525</xdr:rowOff>
    </xdr:to>
    <xdr:sp>
      <xdr:nvSpPr>
        <xdr:cNvPr id="2" name="AutoShape 2"/>
        <xdr:cNvSpPr>
          <a:spLocks/>
        </xdr:cNvSpPr>
      </xdr:nvSpPr>
      <xdr:spPr>
        <a:xfrm>
          <a:off x="2095500" y="2457450"/>
          <a:ext cx="257175" cy="142875"/>
        </a:xfrm>
        <a:prstGeom prst="righ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4</xdr:col>
      <xdr:colOff>485775</xdr:colOff>
      <xdr:row>18</xdr:row>
      <xdr:rowOff>28575</xdr:rowOff>
    </xdr:from>
    <xdr:to>
      <xdr:col>4</xdr:col>
      <xdr:colOff>657225</xdr:colOff>
      <xdr:row>19</xdr:row>
      <xdr:rowOff>0</xdr:rowOff>
    </xdr:to>
    <xdr:sp>
      <xdr:nvSpPr>
        <xdr:cNvPr id="3" name="AutoShape 3"/>
        <xdr:cNvSpPr>
          <a:spLocks/>
        </xdr:cNvSpPr>
      </xdr:nvSpPr>
      <xdr:spPr>
        <a:xfrm>
          <a:off x="4314825" y="2943225"/>
          <a:ext cx="171450" cy="133350"/>
        </a:xfrm>
        <a:prstGeom prst="down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3</xdr:col>
      <xdr:colOff>95250</xdr:colOff>
      <xdr:row>9</xdr:row>
      <xdr:rowOff>9525</xdr:rowOff>
    </xdr:from>
    <xdr:to>
      <xdr:col>3</xdr:col>
      <xdr:colOff>352425</xdr:colOff>
      <xdr:row>10</xdr:row>
      <xdr:rowOff>0</xdr:rowOff>
    </xdr:to>
    <xdr:sp>
      <xdr:nvSpPr>
        <xdr:cNvPr id="4" name="AutoShape 4"/>
        <xdr:cNvSpPr>
          <a:spLocks/>
        </xdr:cNvSpPr>
      </xdr:nvSpPr>
      <xdr:spPr>
        <a:xfrm>
          <a:off x="2809875" y="1466850"/>
          <a:ext cx="247650" cy="152400"/>
        </a:xfrm>
        <a:prstGeom prst="righ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3</xdr:col>
      <xdr:colOff>95250</xdr:colOff>
      <xdr:row>10</xdr:row>
      <xdr:rowOff>9525</xdr:rowOff>
    </xdr:from>
    <xdr:to>
      <xdr:col>3</xdr:col>
      <xdr:colOff>352425</xdr:colOff>
      <xdr:row>11</xdr:row>
      <xdr:rowOff>0</xdr:rowOff>
    </xdr:to>
    <xdr:sp>
      <xdr:nvSpPr>
        <xdr:cNvPr id="5" name="AutoShape 5"/>
        <xdr:cNvSpPr>
          <a:spLocks/>
        </xdr:cNvSpPr>
      </xdr:nvSpPr>
      <xdr:spPr>
        <a:xfrm>
          <a:off x="2809875" y="1628775"/>
          <a:ext cx="247650" cy="152400"/>
        </a:xfrm>
        <a:prstGeom prst="righ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2</xdr:col>
      <xdr:colOff>342900</xdr:colOff>
      <xdr:row>25</xdr:row>
      <xdr:rowOff>28575</xdr:rowOff>
    </xdr:from>
    <xdr:to>
      <xdr:col>2</xdr:col>
      <xdr:colOff>600075</xdr:colOff>
      <xdr:row>26</xdr:row>
      <xdr:rowOff>9525</xdr:rowOff>
    </xdr:to>
    <xdr:sp>
      <xdr:nvSpPr>
        <xdr:cNvPr id="6" name="AutoShape 8"/>
        <xdr:cNvSpPr>
          <a:spLocks/>
        </xdr:cNvSpPr>
      </xdr:nvSpPr>
      <xdr:spPr>
        <a:xfrm>
          <a:off x="2219325" y="4076700"/>
          <a:ext cx="257175" cy="142875"/>
        </a:xfrm>
        <a:prstGeom prst="righ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4</xdr:col>
      <xdr:colOff>485775</xdr:colOff>
      <xdr:row>27</xdr:row>
      <xdr:rowOff>28575</xdr:rowOff>
    </xdr:from>
    <xdr:to>
      <xdr:col>4</xdr:col>
      <xdr:colOff>657225</xdr:colOff>
      <xdr:row>28</xdr:row>
      <xdr:rowOff>0</xdr:rowOff>
    </xdr:to>
    <xdr:sp>
      <xdr:nvSpPr>
        <xdr:cNvPr id="7" name="AutoShape 12"/>
        <xdr:cNvSpPr>
          <a:spLocks/>
        </xdr:cNvSpPr>
      </xdr:nvSpPr>
      <xdr:spPr>
        <a:xfrm>
          <a:off x="4314825" y="4400550"/>
          <a:ext cx="171450" cy="133350"/>
        </a:xfrm>
        <a:prstGeom prst="down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4</xdr:col>
      <xdr:colOff>485775</xdr:colOff>
      <xdr:row>33</xdr:row>
      <xdr:rowOff>28575</xdr:rowOff>
    </xdr:from>
    <xdr:to>
      <xdr:col>4</xdr:col>
      <xdr:colOff>657225</xdr:colOff>
      <xdr:row>34</xdr:row>
      <xdr:rowOff>0</xdr:rowOff>
    </xdr:to>
    <xdr:sp>
      <xdr:nvSpPr>
        <xdr:cNvPr id="8" name="AutoShape 13"/>
        <xdr:cNvSpPr>
          <a:spLocks/>
        </xdr:cNvSpPr>
      </xdr:nvSpPr>
      <xdr:spPr>
        <a:xfrm>
          <a:off x="4314825" y="5524500"/>
          <a:ext cx="171450" cy="133350"/>
        </a:xfrm>
        <a:prstGeom prst="downArrow">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2</xdr:col>
      <xdr:colOff>342900</xdr:colOff>
      <xdr:row>45</xdr:row>
      <xdr:rowOff>28575</xdr:rowOff>
    </xdr:from>
    <xdr:to>
      <xdr:col>2</xdr:col>
      <xdr:colOff>600075</xdr:colOff>
      <xdr:row>46</xdr:row>
      <xdr:rowOff>9525</xdr:rowOff>
    </xdr:to>
    <xdr:sp>
      <xdr:nvSpPr>
        <xdr:cNvPr id="9" name="AutoShape 14"/>
        <xdr:cNvSpPr>
          <a:spLocks/>
        </xdr:cNvSpPr>
      </xdr:nvSpPr>
      <xdr:spPr>
        <a:xfrm>
          <a:off x="2219325" y="7467600"/>
          <a:ext cx="257175" cy="142875"/>
        </a:xfrm>
        <a:prstGeom prst="righ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2</xdr:col>
      <xdr:colOff>342900</xdr:colOff>
      <xdr:row>49</xdr:row>
      <xdr:rowOff>28575</xdr:rowOff>
    </xdr:from>
    <xdr:to>
      <xdr:col>2</xdr:col>
      <xdr:colOff>600075</xdr:colOff>
      <xdr:row>50</xdr:row>
      <xdr:rowOff>9525</xdr:rowOff>
    </xdr:to>
    <xdr:sp>
      <xdr:nvSpPr>
        <xdr:cNvPr id="10" name="AutoShape 15"/>
        <xdr:cNvSpPr>
          <a:spLocks/>
        </xdr:cNvSpPr>
      </xdr:nvSpPr>
      <xdr:spPr>
        <a:xfrm>
          <a:off x="2219325" y="8115300"/>
          <a:ext cx="257175" cy="142875"/>
        </a:xfrm>
        <a:prstGeom prst="righ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2</xdr:col>
      <xdr:colOff>342900</xdr:colOff>
      <xdr:row>53</xdr:row>
      <xdr:rowOff>28575</xdr:rowOff>
    </xdr:from>
    <xdr:to>
      <xdr:col>2</xdr:col>
      <xdr:colOff>600075</xdr:colOff>
      <xdr:row>54</xdr:row>
      <xdr:rowOff>9525</xdr:rowOff>
    </xdr:to>
    <xdr:sp>
      <xdr:nvSpPr>
        <xdr:cNvPr id="11" name="AutoShape 16"/>
        <xdr:cNvSpPr>
          <a:spLocks/>
        </xdr:cNvSpPr>
      </xdr:nvSpPr>
      <xdr:spPr>
        <a:xfrm>
          <a:off x="2219325" y="8763000"/>
          <a:ext cx="257175" cy="142875"/>
        </a:xfrm>
        <a:prstGeom prst="righ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5</xdr:col>
      <xdr:colOff>342900</xdr:colOff>
      <xdr:row>45</xdr:row>
      <xdr:rowOff>28575</xdr:rowOff>
    </xdr:from>
    <xdr:to>
      <xdr:col>5</xdr:col>
      <xdr:colOff>590550</xdr:colOff>
      <xdr:row>47</xdr:row>
      <xdr:rowOff>9525</xdr:rowOff>
    </xdr:to>
    <xdr:sp>
      <xdr:nvSpPr>
        <xdr:cNvPr id="12" name="AutoShape 17"/>
        <xdr:cNvSpPr>
          <a:spLocks/>
        </xdr:cNvSpPr>
      </xdr:nvSpPr>
      <xdr:spPr>
        <a:xfrm>
          <a:off x="5286375" y="7467600"/>
          <a:ext cx="247650" cy="304800"/>
        </a:xfrm>
        <a:prstGeom prst="rightArrow">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5</xdr:col>
      <xdr:colOff>342900</xdr:colOff>
      <xdr:row>49</xdr:row>
      <xdr:rowOff>28575</xdr:rowOff>
    </xdr:from>
    <xdr:to>
      <xdr:col>5</xdr:col>
      <xdr:colOff>647700</xdr:colOff>
      <xdr:row>51</xdr:row>
      <xdr:rowOff>76200</xdr:rowOff>
    </xdr:to>
    <xdr:sp>
      <xdr:nvSpPr>
        <xdr:cNvPr id="13" name="AutoShape 18"/>
        <xdr:cNvSpPr>
          <a:spLocks/>
        </xdr:cNvSpPr>
      </xdr:nvSpPr>
      <xdr:spPr>
        <a:xfrm>
          <a:off x="5286375" y="8115300"/>
          <a:ext cx="304800" cy="371475"/>
        </a:xfrm>
        <a:prstGeom prst="rightArrow">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5</xdr:col>
      <xdr:colOff>342900</xdr:colOff>
      <xdr:row>53</xdr:row>
      <xdr:rowOff>28575</xdr:rowOff>
    </xdr:from>
    <xdr:to>
      <xdr:col>5</xdr:col>
      <xdr:colOff>685800</xdr:colOff>
      <xdr:row>55</xdr:row>
      <xdr:rowOff>85725</xdr:rowOff>
    </xdr:to>
    <xdr:sp>
      <xdr:nvSpPr>
        <xdr:cNvPr id="14" name="AutoShape 19"/>
        <xdr:cNvSpPr>
          <a:spLocks/>
        </xdr:cNvSpPr>
      </xdr:nvSpPr>
      <xdr:spPr>
        <a:xfrm>
          <a:off x="5286375" y="8763000"/>
          <a:ext cx="352425" cy="381000"/>
        </a:xfrm>
        <a:prstGeom prst="rightArrow">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2</xdr:col>
      <xdr:colOff>295275</xdr:colOff>
      <xdr:row>67</xdr:row>
      <xdr:rowOff>0</xdr:rowOff>
    </xdr:from>
    <xdr:to>
      <xdr:col>2</xdr:col>
      <xdr:colOff>600075</xdr:colOff>
      <xdr:row>68</xdr:row>
      <xdr:rowOff>66675</xdr:rowOff>
    </xdr:to>
    <xdr:sp>
      <xdr:nvSpPr>
        <xdr:cNvPr id="15" name="AutoShape 22"/>
        <xdr:cNvSpPr>
          <a:spLocks/>
        </xdr:cNvSpPr>
      </xdr:nvSpPr>
      <xdr:spPr>
        <a:xfrm>
          <a:off x="2171700" y="11296650"/>
          <a:ext cx="314325" cy="381000"/>
        </a:xfrm>
        <a:prstGeom prst="rightArrow">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3</xdr:col>
      <xdr:colOff>466725</xdr:colOff>
      <xdr:row>68</xdr:row>
      <xdr:rowOff>38100</xdr:rowOff>
    </xdr:from>
    <xdr:to>
      <xdr:col>3</xdr:col>
      <xdr:colOff>695325</xdr:colOff>
      <xdr:row>68</xdr:row>
      <xdr:rowOff>133350</xdr:rowOff>
    </xdr:to>
    <xdr:sp>
      <xdr:nvSpPr>
        <xdr:cNvPr id="16" name="AutoShape 23"/>
        <xdr:cNvSpPr>
          <a:spLocks/>
        </xdr:cNvSpPr>
      </xdr:nvSpPr>
      <xdr:spPr>
        <a:xfrm>
          <a:off x="3181350" y="11649075"/>
          <a:ext cx="228600" cy="95250"/>
        </a:xfrm>
        <a:prstGeom prst="downArrow">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28</xdr:row>
      <xdr:rowOff>9525</xdr:rowOff>
    </xdr:from>
    <xdr:to>
      <xdr:col>2</xdr:col>
      <xdr:colOff>0</xdr:colOff>
      <xdr:row>31</xdr:row>
      <xdr:rowOff>0</xdr:rowOff>
    </xdr:to>
    <xdr:sp>
      <xdr:nvSpPr>
        <xdr:cNvPr id="1" name="Shape 1"/>
        <xdr:cNvSpPr txBox="1">
          <a:spLocks noChangeArrowheads="1"/>
        </xdr:cNvSpPr>
      </xdr:nvSpPr>
      <xdr:spPr>
        <a:xfrm>
          <a:off x="9525" y="4543425"/>
          <a:ext cx="1943100"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Verdana"/>
              <a:ea typeface="Verdana"/>
              <a:cs typeface="Verdana"/>
            </a:rPr>
            <a:t>Limite de l'emprunt :
intérêts de l'emprunt ≤ 2,5 fois les intérêts acquis</a:t>
          </a:r>
        </a:p>
      </xdr:txBody>
    </xdr:sp>
    <xdr:clientData/>
  </xdr:twoCellAnchor>
  <xdr:twoCellAnchor>
    <xdr:from>
      <xdr:col>2</xdr:col>
      <xdr:colOff>238125</xdr:colOff>
      <xdr:row>15</xdr:row>
      <xdr:rowOff>9525</xdr:rowOff>
    </xdr:from>
    <xdr:to>
      <xdr:col>2</xdr:col>
      <xdr:colOff>600075</xdr:colOff>
      <xdr:row>16</xdr:row>
      <xdr:rowOff>9525</xdr:rowOff>
    </xdr:to>
    <xdr:sp>
      <xdr:nvSpPr>
        <xdr:cNvPr id="2" name="Shape 3"/>
        <xdr:cNvSpPr>
          <a:spLocks/>
        </xdr:cNvSpPr>
      </xdr:nvSpPr>
      <xdr:spPr>
        <a:xfrm>
          <a:off x="2190750" y="2438400"/>
          <a:ext cx="371475" cy="161925"/>
        </a:xfrm>
        <a:prstGeom prst="rightArrow">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0</xdr:col>
      <xdr:colOff>9525</xdr:colOff>
      <xdr:row>40</xdr:row>
      <xdr:rowOff>95250</xdr:rowOff>
    </xdr:from>
    <xdr:to>
      <xdr:col>2</xdr:col>
      <xdr:colOff>0</xdr:colOff>
      <xdr:row>43</xdr:row>
      <xdr:rowOff>85725</xdr:rowOff>
    </xdr:to>
    <xdr:sp>
      <xdr:nvSpPr>
        <xdr:cNvPr id="3" name="Shape 4"/>
        <xdr:cNvSpPr txBox="1">
          <a:spLocks noChangeArrowheads="1"/>
        </xdr:cNvSpPr>
      </xdr:nvSpPr>
      <xdr:spPr>
        <a:xfrm>
          <a:off x="9525" y="6619875"/>
          <a:ext cx="1943100" cy="514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Verdana"/>
              <a:ea typeface="Verdana"/>
              <a:cs typeface="Verdana"/>
            </a:rPr>
            <a:t>Limite de l'emprunt :
intérêts de l'emprunt ≤ 2,5 fois les intérêts acquis</a:t>
          </a:r>
        </a:p>
      </xdr:txBody>
    </xdr:sp>
    <xdr:clientData/>
  </xdr:twoCellAnchor>
  <xdr:twoCellAnchor>
    <xdr:from>
      <xdr:col>6</xdr:col>
      <xdr:colOff>523875</xdr:colOff>
      <xdr:row>33</xdr:row>
      <xdr:rowOff>38100</xdr:rowOff>
    </xdr:from>
    <xdr:to>
      <xdr:col>10</xdr:col>
      <xdr:colOff>0</xdr:colOff>
      <xdr:row>42</xdr:row>
      <xdr:rowOff>133350</xdr:rowOff>
    </xdr:to>
    <xdr:sp>
      <xdr:nvSpPr>
        <xdr:cNvPr id="4" name="Shape 6"/>
        <xdr:cNvSpPr txBox="1">
          <a:spLocks noChangeArrowheads="1"/>
        </xdr:cNvSpPr>
      </xdr:nvSpPr>
      <xdr:spPr>
        <a:xfrm>
          <a:off x="5962650" y="5429250"/>
          <a:ext cx="2828925" cy="15906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1" i="0" u="none" baseline="0">
              <a:solidFill>
                <a:srgbClr val="0000FF"/>
              </a:solidFill>
              <a:latin typeface="Verdana"/>
              <a:ea typeface="Verdana"/>
              <a:cs typeface="Verdana"/>
            </a:rPr>
            <a:t>Méthode : </a:t>
          </a:r>
          <a:r>
            <a:rPr lang="en-US" cap="none" sz="1000" b="0" i="0" u="none" baseline="0">
              <a:solidFill>
                <a:srgbClr val="0000FF"/>
              </a:solidFill>
              <a:latin typeface="Verdana"/>
              <a:ea typeface="Verdana"/>
              <a:cs typeface="Verdana"/>
            </a:rPr>
            <a:t>
se placer sur la cellule contenant les intérêts d'emrpunt
aller dans </a:t>
          </a:r>
          <a:r>
            <a:rPr lang="en-US" cap="none" sz="1000" b="1" i="0" u="none" baseline="0">
              <a:solidFill>
                <a:srgbClr val="0000FF"/>
              </a:solidFill>
              <a:latin typeface="Verdana"/>
              <a:ea typeface="Verdana"/>
              <a:cs typeface="Verdana"/>
            </a:rPr>
            <a:t>Outils d'analyse  &gt; valeur cible</a:t>
          </a:r>
          <a:r>
            <a:rPr lang="en-US" cap="none" sz="1000" b="0" i="0" u="none" baseline="0">
              <a:solidFill>
                <a:srgbClr val="0000FF"/>
              </a:solidFill>
              <a:latin typeface="Verdana"/>
              <a:ea typeface="Verdana"/>
              <a:cs typeface="Verdana"/>
            </a:rPr>
            <a:t>
Vlaeur à atteindre : remplacer les intérêts d'emprunt actuels par la valeur max
cellule à modifier : cliquer sur le montant de l'emprunt 12000
valider par  OK</a:t>
          </a:r>
        </a:p>
      </xdr:txBody>
    </xdr:sp>
    <xdr:clientData/>
  </xdr:twoCellAnchor>
  <xdr:twoCellAnchor>
    <xdr:from>
      <xdr:col>6</xdr:col>
      <xdr:colOff>19050</xdr:colOff>
      <xdr:row>33</xdr:row>
      <xdr:rowOff>9525</xdr:rowOff>
    </xdr:from>
    <xdr:to>
      <xdr:col>6</xdr:col>
      <xdr:colOff>390525</xdr:colOff>
      <xdr:row>34</xdr:row>
      <xdr:rowOff>66675</xdr:rowOff>
    </xdr:to>
    <xdr:sp>
      <xdr:nvSpPr>
        <xdr:cNvPr id="5" name="Shape 7"/>
        <xdr:cNvSpPr>
          <a:spLocks/>
        </xdr:cNvSpPr>
      </xdr:nvSpPr>
      <xdr:spPr>
        <a:xfrm>
          <a:off x="5457825" y="5400675"/>
          <a:ext cx="371475" cy="219075"/>
        </a:xfrm>
        <a:prstGeom prst="rightArrow">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6</xdr:col>
      <xdr:colOff>114300</xdr:colOff>
      <xdr:row>41</xdr:row>
      <xdr:rowOff>200025</xdr:rowOff>
    </xdr:from>
    <xdr:to>
      <xdr:col>6</xdr:col>
      <xdr:colOff>381000</xdr:colOff>
      <xdr:row>43</xdr:row>
      <xdr:rowOff>47625</xdr:rowOff>
    </xdr:to>
    <xdr:sp>
      <xdr:nvSpPr>
        <xdr:cNvPr id="6" name="Shape 9"/>
        <xdr:cNvSpPr>
          <a:spLocks/>
        </xdr:cNvSpPr>
      </xdr:nvSpPr>
      <xdr:spPr>
        <a:xfrm>
          <a:off x="5553075" y="6886575"/>
          <a:ext cx="266700" cy="209550"/>
        </a:xfrm>
        <a:prstGeom prst="left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6</xdr:col>
      <xdr:colOff>114300</xdr:colOff>
      <xdr:row>35</xdr:row>
      <xdr:rowOff>0</xdr:rowOff>
    </xdr:from>
    <xdr:to>
      <xdr:col>6</xdr:col>
      <xdr:colOff>381000</xdr:colOff>
      <xdr:row>35</xdr:row>
      <xdr:rowOff>152400</xdr:rowOff>
    </xdr:to>
    <xdr:sp>
      <xdr:nvSpPr>
        <xdr:cNvPr id="7" name="Shape 10"/>
        <xdr:cNvSpPr>
          <a:spLocks/>
        </xdr:cNvSpPr>
      </xdr:nvSpPr>
      <xdr:spPr>
        <a:xfrm>
          <a:off x="5553075" y="5715000"/>
          <a:ext cx="266700" cy="152400"/>
        </a:xfrm>
        <a:prstGeom prst="left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5</xdr:col>
      <xdr:colOff>114300</xdr:colOff>
      <xdr:row>35</xdr:row>
      <xdr:rowOff>0</xdr:rowOff>
    </xdr:from>
    <xdr:to>
      <xdr:col>5</xdr:col>
      <xdr:colOff>381000</xdr:colOff>
      <xdr:row>35</xdr:row>
      <xdr:rowOff>152400</xdr:rowOff>
    </xdr:to>
    <xdr:sp>
      <xdr:nvSpPr>
        <xdr:cNvPr id="8" name="Shape 11"/>
        <xdr:cNvSpPr>
          <a:spLocks/>
        </xdr:cNvSpPr>
      </xdr:nvSpPr>
      <xdr:spPr>
        <a:xfrm>
          <a:off x="4714875" y="5715000"/>
          <a:ext cx="266700" cy="152400"/>
        </a:xfrm>
        <a:prstGeom prst="left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4</xdr:col>
      <xdr:colOff>104775</xdr:colOff>
      <xdr:row>35</xdr:row>
      <xdr:rowOff>0</xdr:rowOff>
    </xdr:from>
    <xdr:to>
      <xdr:col>4</xdr:col>
      <xdr:colOff>371475</xdr:colOff>
      <xdr:row>35</xdr:row>
      <xdr:rowOff>152400</xdr:rowOff>
    </xdr:to>
    <xdr:sp>
      <xdr:nvSpPr>
        <xdr:cNvPr id="9" name="Shape 12"/>
        <xdr:cNvSpPr>
          <a:spLocks/>
        </xdr:cNvSpPr>
      </xdr:nvSpPr>
      <xdr:spPr>
        <a:xfrm>
          <a:off x="3810000" y="5715000"/>
          <a:ext cx="266700" cy="152400"/>
        </a:xfrm>
        <a:prstGeom prst="left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3</xdr:col>
      <xdr:colOff>104775</xdr:colOff>
      <xdr:row>35</xdr:row>
      <xdr:rowOff>0</xdr:rowOff>
    </xdr:from>
    <xdr:to>
      <xdr:col>3</xdr:col>
      <xdr:colOff>371475</xdr:colOff>
      <xdr:row>35</xdr:row>
      <xdr:rowOff>152400</xdr:rowOff>
    </xdr:to>
    <xdr:sp>
      <xdr:nvSpPr>
        <xdr:cNvPr id="10" name="Shape 13"/>
        <xdr:cNvSpPr>
          <a:spLocks/>
        </xdr:cNvSpPr>
      </xdr:nvSpPr>
      <xdr:spPr>
        <a:xfrm>
          <a:off x="2895600" y="5715000"/>
          <a:ext cx="257175" cy="152400"/>
        </a:xfrm>
        <a:prstGeom prst="left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2</xdr:col>
      <xdr:colOff>114300</xdr:colOff>
      <xdr:row>35</xdr:row>
      <xdr:rowOff>0</xdr:rowOff>
    </xdr:from>
    <xdr:to>
      <xdr:col>2</xdr:col>
      <xdr:colOff>390525</xdr:colOff>
      <xdr:row>35</xdr:row>
      <xdr:rowOff>152400</xdr:rowOff>
    </xdr:to>
    <xdr:sp>
      <xdr:nvSpPr>
        <xdr:cNvPr id="11" name="Shape 14"/>
        <xdr:cNvSpPr>
          <a:spLocks/>
        </xdr:cNvSpPr>
      </xdr:nvSpPr>
      <xdr:spPr>
        <a:xfrm>
          <a:off x="2066925" y="5715000"/>
          <a:ext cx="276225" cy="152400"/>
        </a:xfrm>
        <a:prstGeom prst="left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2</xdr:col>
      <xdr:colOff>238125</xdr:colOff>
      <xdr:row>29</xdr:row>
      <xdr:rowOff>38100</xdr:rowOff>
    </xdr:from>
    <xdr:to>
      <xdr:col>2</xdr:col>
      <xdr:colOff>600075</xdr:colOff>
      <xdr:row>29</xdr:row>
      <xdr:rowOff>200025</xdr:rowOff>
    </xdr:to>
    <xdr:sp>
      <xdr:nvSpPr>
        <xdr:cNvPr id="12" name="AutoShape 1"/>
        <xdr:cNvSpPr>
          <a:spLocks/>
        </xdr:cNvSpPr>
      </xdr:nvSpPr>
      <xdr:spPr>
        <a:xfrm>
          <a:off x="2190750" y="4733925"/>
          <a:ext cx="371475" cy="161925"/>
        </a:xfrm>
        <a:prstGeom prst="rightArrow">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819150</xdr:colOff>
      <xdr:row>4</xdr:row>
      <xdr:rowOff>85725</xdr:rowOff>
    </xdr:from>
    <xdr:to>
      <xdr:col>8</xdr:col>
      <xdr:colOff>247650</xdr:colOff>
      <xdr:row>12</xdr:row>
      <xdr:rowOff>9525</xdr:rowOff>
    </xdr:to>
    <xdr:sp>
      <xdr:nvSpPr>
        <xdr:cNvPr id="1" name="TextBox 1"/>
        <xdr:cNvSpPr txBox="1">
          <a:spLocks noChangeArrowheads="1"/>
        </xdr:cNvSpPr>
      </xdr:nvSpPr>
      <xdr:spPr>
        <a:xfrm>
          <a:off x="5133975" y="733425"/>
          <a:ext cx="1943100" cy="121920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1" i="0" u="none" baseline="0">
              <a:solidFill>
                <a:srgbClr val="0000FF"/>
              </a:solidFill>
              <a:latin typeface="Verdana"/>
              <a:ea typeface="Verdana"/>
              <a:cs typeface="Verdana"/>
            </a:rPr>
            <a:t>Bonus : 
</a:t>
          </a:r>
          <a:r>
            <a:rPr lang="en-US" cap="none" sz="1000" b="0" i="0" u="none" baseline="0">
              <a:solidFill>
                <a:srgbClr val="0000FF"/>
              </a:solidFill>
              <a:latin typeface="Verdana"/>
              <a:ea typeface="Verdana"/>
              <a:cs typeface="Verdana"/>
            </a:rPr>
            <a:t>Dans le tableau ci-contre, on a calculé les CF acualisés à la date 0 et leur somme. On retrouve ainsi la VAN et on vérifie la syntaxe de la fontion </a:t>
          </a:r>
          <a:r>
            <a:rPr lang="en-US" cap="none" sz="1000" b="1" i="0" u="none" baseline="0">
              <a:solidFill>
                <a:srgbClr val="0000FF"/>
              </a:solidFill>
              <a:latin typeface="Verdana"/>
              <a:ea typeface="Verdana"/>
              <a:cs typeface="Verdana"/>
            </a:rPr>
            <a:t>VAN</a:t>
          </a:r>
          <a:r>
            <a:rPr lang="en-US" cap="none" sz="1000" b="0" i="0" u="none" baseline="0">
              <a:solidFill>
                <a:srgbClr val="0000FF"/>
              </a:solidFill>
              <a:latin typeface="Verdana"/>
              <a:ea typeface="Verdana"/>
              <a:cs typeface="Verdana"/>
            </a:rPr>
            <a:t>.</a:t>
          </a:r>
        </a:p>
      </xdr:txBody>
    </xdr:sp>
    <xdr:clientData/>
  </xdr:twoCellAnchor>
  <xdr:twoCellAnchor>
    <xdr:from>
      <xdr:col>5</xdr:col>
      <xdr:colOff>133350</xdr:colOff>
      <xdr:row>8</xdr:row>
      <xdr:rowOff>47625</xdr:rowOff>
    </xdr:from>
    <xdr:to>
      <xdr:col>5</xdr:col>
      <xdr:colOff>523875</xdr:colOff>
      <xdr:row>9</xdr:row>
      <xdr:rowOff>133350</xdr:rowOff>
    </xdr:to>
    <xdr:sp>
      <xdr:nvSpPr>
        <xdr:cNvPr id="2" name="AutoShape 2"/>
        <xdr:cNvSpPr>
          <a:spLocks/>
        </xdr:cNvSpPr>
      </xdr:nvSpPr>
      <xdr:spPr>
        <a:xfrm>
          <a:off x="4448175" y="1343025"/>
          <a:ext cx="390525" cy="24765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4</xdr:col>
      <xdr:colOff>247650</xdr:colOff>
      <xdr:row>8</xdr:row>
      <xdr:rowOff>66675</xdr:rowOff>
    </xdr:from>
    <xdr:to>
      <xdr:col>4</xdr:col>
      <xdr:colOff>638175</xdr:colOff>
      <xdr:row>9</xdr:row>
      <xdr:rowOff>152400</xdr:rowOff>
    </xdr:to>
    <xdr:sp>
      <xdr:nvSpPr>
        <xdr:cNvPr id="3" name="AutoShape 3"/>
        <xdr:cNvSpPr>
          <a:spLocks/>
        </xdr:cNvSpPr>
      </xdr:nvSpPr>
      <xdr:spPr>
        <a:xfrm>
          <a:off x="3724275" y="1362075"/>
          <a:ext cx="390525" cy="24765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44</xdr:row>
      <xdr:rowOff>38100</xdr:rowOff>
    </xdr:from>
    <xdr:to>
      <xdr:col>6</xdr:col>
      <xdr:colOff>9525</xdr:colOff>
      <xdr:row>48</xdr:row>
      <xdr:rowOff>9525</xdr:rowOff>
    </xdr:to>
    <xdr:sp>
      <xdr:nvSpPr>
        <xdr:cNvPr id="1" name="TextBox 1"/>
        <xdr:cNvSpPr txBox="1">
          <a:spLocks noChangeArrowheads="1"/>
        </xdr:cNvSpPr>
      </xdr:nvSpPr>
      <xdr:spPr>
        <a:xfrm>
          <a:off x="857250" y="7315200"/>
          <a:ext cx="4219575" cy="61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Verdana"/>
              <a:ea typeface="Verdana"/>
              <a:cs typeface="Verdana"/>
            </a:rPr>
            <a:t>Conclusion :
</a:t>
          </a:r>
          <a:r>
            <a:rPr lang="en-US" cap="none" sz="1000" b="0" i="0" u="none" baseline="0">
              <a:latin typeface="Verdana"/>
              <a:ea typeface="Verdana"/>
              <a:cs typeface="Verdana"/>
            </a:rPr>
            <a:t>Grace à l'emprunt, le TRI a augmenté de 0,06% (le TRI est passé de 3,001% à 3,061%). C'est ce qu'on appelle l'</a:t>
          </a:r>
          <a:r>
            <a:rPr lang="en-US" cap="none" sz="1000" b="1" i="0" u="none" baseline="0">
              <a:latin typeface="Verdana"/>
              <a:ea typeface="Verdana"/>
              <a:cs typeface="Verdana"/>
            </a:rPr>
            <a:t>effet de levier.</a:t>
          </a:r>
          <a:r>
            <a:rPr lang="en-US" cap="none" sz="1000" b="0" i="0" u="none" baseline="0">
              <a:latin typeface="Verdana"/>
              <a:ea typeface="Verdana"/>
              <a:cs typeface="Verdana"/>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F152"/>
  <sheetViews>
    <sheetView workbookViewId="0" topLeftCell="A1">
      <selection activeCell="D148" sqref="D148"/>
    </sheetView>
  </sheetViews>
  <sheetFormatPr defaultColWidth="11.00390625" defaultRowHeight="12.75"/>
  <cols>
    <col min="2" max="2" width="11.125" style="0" customWidth="1"/>
    <col min="3" max="3" width="13.125" style="0" customWidth="1"/>
    <col min="8" max="8" width="19.25390625" style="0" customWidth="1"/>
  </cols>
  <sheetData>
    <row r="1" ht="12.75">
      <c r="A1" s="1" t="s">
        <v>57</v>
      </c>
    </row>
    <row r="2" ht="12.75">
      <c r="A2" s="1"/>
    </row>
    <row r="3" spans="1:6" ht="12.75">
      <c r="A3" s="1" t="s">
        <v>151</v>
      </c>
      <c r="B3" s="78"/>
      <c r="C3" s="78"/>
      <c r="D3" s="78"/>
      <c r="E3" s="78"/>
      <c r="F3" s="78"/>
    </row>
    <row r="4" spans="1:6" ht="12.75">
      <c r="A4" s="63" t="s">
        <v>82</v>
      </c>
      <c r="B4" s="78"/>
      <c r="C4" s="78"/>
      <c r="D4" s="78"/>
      <c r="E4" s="78"/>
      <c r="F4" s="78"/>
    </row>
    <row r="5" spans="1:6" ht="12.75">
      <c r="A5" s="79" t="s">
        <v>148</v>
      </c>
      <c r="B5" s="80">
        <v>100000</v>
      </c>
      <c r="C5" s="78"/>
      <c r="D5" s="78"/>
      <c r="E5" s="78"/>
      <c r="F5" s="78"/>
    </row>
    <row r="6" spans="1:6" ht="12.75">
      <c r="A6" s="79" t="s">
        <v>149</v>
      </c>
      <c r="B6" s="81">
        <v>0.048</v>
      </c>
      <c r="C6" s="78"/>
      <c r="D6" s="78"/>
      <c r="E6" s="78"/>
      <c r="F6" s="78"/>
    </row>
    <row r="7" spans="1:6" ht="12.75">
      <c r="A7" s="82" t="s">
        <v>150</v>
      </c>
      <c r="B7" s="82">
        <v>6</v>
      </c>
      <c r="C7" s="78"/>
      <c r="D7" s="78"/>
      <c r="E7" s="78"/>
      <c r="F7" s="78"/>
    </row>
    <row r="8" spans="1:6" ht="12.75">
      <c r="A8" s="83" t="s">
        <v>126</v>
      </c>
      <c r="B8" s="79"/>
      <c r="C8" s="79">
        <v>4</v>
      </c>
      <c r="D8" s="78"/>
      <c r="E8" s="78"/>
      <c r="F8" s="78"/>
    </row>
    <row r="9" spans="1:6" ht="12.75">
      <c r="A9" s="78"/>
      <c r="B9" s="78"/>
      <c r="C9" s="78"/>
      <c r="D9" s="78"/>
      <c r="E9" s="78"/>
      <c r="F9" s="78"/>
    </row>
    <row r="10" spans="1:6" ht="12.75">
      <c r="A10" s="78"/>
      <c r="B10" s="1"/>
      <c r="C10" s="67"/>
      <c r="D10" s="67"/>
      <c r="E10" s="67"/>
      <c r="F10" s="67"/>
    </row>
    <row r="11" spans="1:6" ht="12.75">
      <c r="A11" s="67"/>
      <c r="B11" s="63" t="s">
        <v>83</v>
      </c>
      <c r="C11" s="78"/>
      <c r="D11" s="78"/>
      <c r="E11" s="78"/>
      <c r="F11" s="78"/>
    </row>
    <row r="12" spans="1:6" ht="12.75">
      <c r="A12" s="78"/>
      <c r="B12" s="79" t="s">
        <v>152</v>
      </c>
      <c r="C12" s="81">
        <f>B6/C8</f>
        <v>0.012</v>
      </c>
      <c r="D12" s="78"/>
      <c r="E12" s="78"/>
      <c r="F12" s="78"/>
    </row>
    <row r="13" spans="1:6" ht="12.75">
      <c r="A13" s="78"/>
      <c r="B13" s="79" t="s">
        <v>153</v>
      </c>
      <c r="C13" s="79">
        <f>B7*C8</f>
        <v>24</v>
      </c>
      <c r="D13" s="78"/>
      <c r="E13" s="78"/>
      <c r="F13" s="78"/>
    </row>
    <row r="14" spans="1:6" ht="12.75">
      <c r="A14" s="78"/>
      <c r="B14" s="78"/>
      <c r="C14" s="84"/>
      <c r="D14" s="85"/>
      <c r="E14" s="78"/>
      <c r="F14" s="78"/>
    </row>
    <row r="15" spans="1:6" ht="12.75">
      <c r="A15" s="78"/>
      <c r="B15" s="1" t="s">
        <v>154</v>
      </c>
      <c r="C15" s="67"/>
      <c r="D15" s="67"/>
      <c r="E15" s="67"/>
      <c r="F15" s="67"/>
    </row>
    <row r="16" spans="1:6" ht="27" customHeight="1">
      <c r="A16" s="67"/>
      <c r="B16" s="86" t="s">
        <v>155</v>
      </c>
      <c r="C16" s="87" t="s">
        <v>158</v>
      </c>
      <c r="D16" s="86" t="s">
        <v>156</v>
      </c>
      <c r="E16" s="86" t="s">
        <v>157</v>
      </c>
      <c r="F16" s="86" t="s">
        <v>168</v>
      </c>
    </row>
    <row r="17" spans="1:6" ht="12.75">
      <c r="A17" s="67"/>
      <c r="B17" s="88">
        <v>1</v>
      </c>
      <c r="C17" s="89">
        <f>B5</f>
        <v>100000</v>
      </c>
      <c r="D17" s="89">
        <f>IPMT($C$12,$B17,$C$13,-$B$5)</f>
        <v>1200</v>
      </c>
      <c r="E17" s="89">
        <f>PPMT($C$12,$B17,$C$13,-$B$5)</f>
        <v>3620.2065042500817</v>
      </c>
      <c r="F17" s="89">
        <f>D17+E17</f>
        <v>4820.206504250082</v>
      </c>
    </row>
    <row r="18" spans="1:6" ht="12.75">
      <c r="A18" s="67"/>
      <c r="B18" s="90">
        <v>2</v>
      </c>
      <c r="C18" s="91">
        <f>C17-E17</f>
        <v>96379.79349574992</v>
      </c>
      <c r="D18" s="91">
        <f>IPMT($C$12,$B18,$C$13,-$B$5)</f>
        <v>1156.557521948999</v>
      </c>
      <c r="E18" s="91">
        <f>PPMT($C$12,$B18,$C$13,-$B$5)</f>
        <v>3663.6489823010825</v>
      </c>
      <c r="F18" s="91">
        <f>D18+E18</f>
        <v>4820.206504250082</v>
      </c>
    </row>
    <row r="19" spans="1:6" ht="12.75">
      <c r="A19" s="67"/>
      <c r="B19" s="90">
        <v>3</v>
      </c>
      <c r="C19" s="91">
        <f aca="true" t="shared" si="0" ref="C19:C40">C18-E18</f>
        <v>92716.14451344885</v>
      </c>
      <c r="D19" s="91">
        <f aca="true" t="shared" si="1" ref="D19:D40">IPMT($C$12,$B19,$C$13,-$B$5)</f>
        <v>1112.5937341613862</v>
      </c>
      <c r="E19" s="91">
        <f aca="true" t="shared" si="2" ref="E19:E40">PPMT($C$12,$B19,$C$13,-$B$5)</f>
        <v>3707.6127700886955</v>
      </c>
      <c r="F19" s="91">
        <f aca="true" t="shared" si="3" ref="F19:F40">D19+E19</f>
        <v>4820.206504250082</v>
      </c>
    </row>
    <row r="20" spans="1:6" ht="12.75">
      <c r="A20" s="67"/>
      <c r="B20" s="90">
        <v>4</v>
      </c>
      <c r="C20" s="91">
        <f t="shared" si="0"/>
        <v>89008.53174336014</v>
      </c>
      <c r="D20" s="91">
        <f t="shared" si="1"/>
        <v>1068.1023809203218</v>
      </c>
      <c r="E20" s="91">
        <f t="shared" si="2"/>
        <v>3752.10412332976</v>
      </c>
      <c r="F20" s="91">
        <f t="shared" si="3"/>
        <v>4820.206504250082</v>
      </c>
    </row>
    <row r="21" spans="2:6" ht="12.75">
      <c r="B21" s="9">
        <v>5</v>
      </c>
      <c r="C21" s="10">
        <f t="shared" si="0"/>
        <v>85256.42762003039</v>
      </c>
      <c r="D21" s="10">
        <f t="shared" si="1"/>
        <v>1023.0771314403646</v>
      </c>
      <c r="E21" s="10">
        <f t="shared" si="2"/>
        <v>3797.129372809717</v>
      </c>
      <c r="F21" s="10">
        <f t="shared" si="3"/>
        <v>4820.206504250082</v>
      </c>
    </row>
    <row r="22" spans="2:6" ht="12.75">
      <c r="B22" s="9">
        <v>6</v>
      </c>
      <c r="C22" s="10">
        <f t="shared" si="0"/>
        <v>81459.29824722066</v>
      </c>
      <c r="D22" s="10">
        <f t="shared" si="1"/>
        <v>977.5115789666484</v>
      </c>
      <c r="E22" s="10">
        <f t="shared" si="2"/>
        <v>3842.6949252834333</v>
      </c>
      <c r="F22" s="10">
        <f t="shared" si="3"/>
        <v>4820.206504250082</v>
      </c>
    </row>
    <row r="23" spans="2:6" ht="12.75">
      <c r="B23" s="9">
        <v>7</v>
      </c>
      <c r="C23" s="10">
        <f t="shared" si="0"/>
        <v>77616.60332193723</v>
      </c>
      <c r="D23" s="10">
        <f t="shared" si="1"/>
        <v>931.3992398632475</v>
      </c>
      <c r="E23" s="10">
        <f t="shared" si="2"/>
        <v>3888.807264386834</v>
      </c>
      <c r="F23" s="10">
        <f t="shared" si="3"/>
        <v>4820.206504250082</v>
      </c>
    </row>
    <row r="24" spans="2:6" ht="12.75">
      <c r="B24" s="9">
        <v>8</v>
      </c>
      <c r="C24" s="10">
        <f t="shared" si="0"/>
        <v>73727.7960575504</v>
      </c>
      <c r="D24" s="10">
        <f t="shared" si="1"/>
        <v>884.7335526906046</v>
      </c>
      <c r="E24" s="10">
        <f t="shared" si="2"/>
        <v>3935.472951559477</v>
      </c>
      <c r="F24" s="10">
        <f t="shared" si="3"/>
        <v>4820.206504250082</v>
      </c>
    </row>
    <row r="25" spans="2:6" ht="12.75">
      <c r="B25" s="9">
        <v>9</v>
      </c>
      <c r="C25" s="10">
        <f t="shared" si="0"/>
        <v>69792.32310599092</v>
      </c>
      <c r="D25" s="10">
        <f t="shared" si="1"/>
        <v>837.5078772718914</v>
      </c>
      <c r="E25" s="10">
        <f t="shared" si="2"/>
        <v>3982.69862697819</v>
      </c>
      <c r="F25" s="10">
        <f t="shared" si="3"/>
        <v>4820.206504250082</v>
      </c>
    </row>
    <row r="26" spans="2:6" ht="12.75">
      <c r="B26" s="9">
        <v>10</v>
      </c>
      <c r="C26" s="10">
        <f t="shared" si="0"/>
        <v>65809.62447901272</v>
      </c>
      <c r="D26" s="10">
        <f t="shared" si="1"/>
        <v>789.7154937481532</v>
      </c>
      <c r="E26" s="10">
        <f t="shared" si="2"/>
        <v>4030.4910105019285</v>
      </c>
      <c r="F26" s="10">
        <f t="shared" si="3"/>
        <v>4820.206504250082</v>
      </c>
    </row>
    <row r="27" spans="2:6" ht="12.75">
      <c r="B27" s="9">
        <v>11</v>
      </c>
      <c r="C27" s="10">
        <f t="shared" si="0"/>
        <v>61779.133468510794</v>
      </c>
      <c r="D27" s="10">
        <f t="shared" si="1"/>
        <v>741.3496016221299</v>
      </c>
      <c r="E27" s="10">
        <f t="shared" si="2"/>
        <v>4078.856902627952</v>
      </c>
      <c r="F27" s="10">
        <f t="shared" si="3"/>
        <v>4820.206504250082</v>
      </c>
    </row>
    <row r="28" spans="2:6" ht="12.75">
      <c r="B28" s="9">
        <v>12</v>
      </c>
      <c r="C28" s="10">
        <f t="shared" si="0"/>
        <v>57700.27656588284</v>
      </c>
      <c r="D28" s="10">
        <f t="shared" si="1"/>
        <v>692.4033187905944</v>
      </c>
      <c r="E28" s="10">
        <f t="shared" si="2"/>
        <v>4127.803185459487</v>
      </c>
      <c r="F28" s="10">
        <f t="shared" si="3"/>
        <v>4820.206504250082</v>
      </c>
    </row>
    <row r="29" spans="2:6" ht="12.75">
      <c r="B29" s="9">
        <v>13</v>
      </c>
      <c r="C29" s="10">
        <f t="shared" si="0"/>
        <v>53572.473380423355</v>
      </c>
      <c r="D29" s="10">
        <f t="shared" si="1"/>
        <v>642.869680565081</v>
      </c>
      <c r="E29" s="10">
        <f t="shared" si="2"/>
        <v>4177.336823685001</v>
      </c>
      <c r="F29" s="10">
        <f t="shared" si="3"/>
        <v>4820.206504250082</v>
      </c>
    </row>
    <row r="30" spans="2:6" ht="12.75">
      <c r="B30" s="9">
        <v>14</v>
      </c>
      <c r="C30" s="10">
        <f t="shared" si="0"/>
        <v>49395.136556738355</v>
      </c>
      <c r="D30" s="10">
        <f t="shared" si="1"/>
        <v>592.741638680861</v>
      </c>
      <c r="E30" s="10">
        <f t="shared" si="2"/>
        <v>4227.464865569221</v>
      </c>
      <c r="F30" s="10">
        <f t="shared" si="3"/>
        <v>4820.206504250082</v>
      </c>
    </row>
    <row r="31" spans="2:6" ht="12.75">
      <c r="B31" s="9">
        <v>15</v>
      </c>
      <c r="C31" s="10">
        <f t="shared" si="0"/>
        <v>45167.67169116913</v>
      </c>
      <c r="D31" s="10">
        <f t="shared" si="1"/>
        <v>542.0120602940307</v>
      </c>
      <c r="E31" s="10">
        <f t="shared" si="2"/>
        <v>4278.194443956051</v>
      </c>
      <c r="F31" s="10">
        <f t="shared" si="3"/>
        <v>4820.206504250082</v>
      </c>
    </row>
    <row r="32" spans="2:6" ht="12.75">
      <c r="B32" s="9">
        <v>16</v>
      </c>
      <c r="C32" s="10">
        <f t="shared" si="0"/>
        <v>40889.47724721308</v>
      </c>
      <c r="D32" s="10">
        <f t="shared" si="1"/>
        <v>490.67372696655667</v>
      </c>
      <c r="E32" s="10">
        <f t="shared" si="2"/>
        <v>4329.532777283525</v>
      </c>
      <c r="F32" s="10">
        <f t="shared" si="3"/>
        <v>4820.206504250082</v>
      </c>
    </row>
    <row r="33" spans="2:6" ht="12.75">
      <c r="B33" s="9">
        <v>17</v>
      </c>
      <c r="C33" s="10">
        <f t="shared" si="0"/>
        <v>36559.94446992956</v>
      </c>
      <c r="D33" s="10">
        <f t="shared" si="1"/>
        <v>438.71933363915485</v>
      </c>
      <c r="E33" s="10">
        <f t="shared" si="2"/>
        <v>4381.487170610927</v>
      </c>
      <c r="F33" s="10">
        <f t="shared" si="3"/>
        <v>4820.206504250082</v>
      </c>
    </row>
    <row r="34" spans="2:6" ht="12.75">
      <c r="B34" s="9">
        <v>18</v>
      </c>
      <c r="C34" s="10">
        <f t="shared" si="0"/>
        <v>32178.45729931863</v>
      </c>
      <c r="D34" s="10">
        <f t="shared" si="1"/>
        <v>386.1414875918234</v>
      </c>
      <c r="E34" s="10">
        <f t="shared" si="2"/>
        <v>4434.065016658258</v>
      </c>
      <c r="F34" s="10">
        <f t="shared" si="3"/>
        <v>4820.206504250082</v>
      </c>
    </row>
    <row r="35" spans="2:6" ht="12.75">
      <c r="B35" s="9">
        <v>19</v>
      </c>
      <c r="C35" s="10">
        <f t="shared" si="0"/>
        <v>27744.392282660374</v>
      </c>
      <c r="D35" s="10">
        <f t="shared" si="1"/>
        <v>332.9327073919249</v>
      </c>
      <c r="E35" s="10">
        <f t="shared" si="2"/>
        <v>4487.273796858157</v>
      </c>
      <c r="F35" s="10">
        <f t="shared" si="3"/>
        <v>4820.206504250082</v>
      </c>
    </row>
    <row r="36" spans="2:6" ht="12.75">
      <c r="B36" s="9">
        <v>20</v>
      </c>
      <c r="C36" s="10">
        <f t="shared" si="0"/>
        <v>23257.118485802217</v>
      </c>
      <c r="D36" s="10">
        <f t="shared" si="1"/>
        <v>279.0854218296266</v>
      </c>
      <c r="E36" s="10">
        <f t="shared" si="2"/>
        <v>4541.121082420455</v>
      </c>
      <c r="F36" s="10">
        <f t="shared" si="3"/>
        <v>4820.206504250082</v>
      </c>
    </row>
    <row r="37" spans="2:6" ht="12.75">
      <c r="B37" s="9">
        <v>21</v>
      </c>
      <c r="C37" s="10">
        <f t="shared" si="0"/>
        <v>18715.997403381763</v>
      </c>
      <c r="D37" s="10">
        <f t="shared" si="1"/>
        <v>224.59196884058179</v>
      </c>
      <c r="E37" s="10">
        <f t="shared" si="2"/>
        <v>4595.6145354095</v>
      </c>
      <c r="F37" s="10">
        <f t="shared" si="3"/>
        <v>4820.206504250082</v>
      </c>
    </row>
    <row r="38" spans="2:6" ht="12.75">
      <c r="B38" s="9">
        <v>22</v>
      </c>
      <c r="C38" s="10">
        <f t="shared" si="0"/>
        <v>14120.382867972265</v>
      </c>
      <c r="D38" s="10">
        <f t="shared" si="1"/>
        <v>169.444594415667</v>
      </c>
      <c r="E38" s="10">
        <f t="shared" si="2"/>
        <v>4650.761909834415</v>
      </c>
      <c r="F38" s="10">
        <f t="shared" si="3"/>
        <v>4820.206504250082</v>
      </c>
    </row>
    <row r="39" spans="2:6" ht="12.75">
      <c r="B39" s="9">
        <v>23</v>
      </c>
      <c r="C39" s="10">
        <f t="shared" si="0"/>
        <v>9469.62095813785</v>
      </c>
      <c r="D39" s="10">
        <f t="shared" si="1"/>
        <v>113.63545149765525</v>
      </c>
      <c r="E39" s="10">
        <f t="shared" si="2"/>
        <v>4706.571052752426</v>
      </c>
      <c r="F39" s="10">
        <f t="shared" si="3"/>
        <v>4820.206504250082</v>
      </c>
    </row>
    <row r="40" spans="2:6" ht="12.75">
      <c r="B40" s="11">
        <v>24</v>
      </c>
      <c r="C40" s="12">
        <f t="shared" si="0"/>
        <v>4763.049905385424</v>
      </c>
      <c r="D40" s="12">
        <f t="shared" si="1"/>
        <v>57.156598864624804</v>
      </c>
      <c r="E40" s="12">
        <f t="shared" si="2"/>
        <v>4763.049905385457</v>
      </c>
      <c r="F40" s="12">
        <f t="shared" si="3"/>
        <v>4820.206504250082</v>
      </c>
    </row>
    <row r="41" spans="2:6" ht="12.75">
      <c r="B41" s="39"/>
      <c r="C41" s="35"/>
      <c r="D41" s="35"/>
      <c r="E41" s="35"/>
      <c r="F41" s="35"/>
    </row>
    <row r="42" spans="2:6" ht="12.75">
      <c r="B42" s="39"/>
      <c r="C42" s="35"/>
      <c r="D42" s="35"/>
      <c r="E42" s="35"/>
      <c r="F42" s="35"/>
    </row>
    <row r="43" spans="2:6" ht="12.75">
      <c r="B43" s="39"/>
      <c r="C43" s="35"/>
      <c r="D43" s="35"/>
      <c r="E43" s="35"/>
      <c r="F43" s="35"/>
    </row>
    <row r="44" spans="2:6" ht="12.75">
      <c r="B44" s="39"/>
      <c r="C44" s="35"/>
      <c r="D44" s="35"/>
      <c r="E44" s="35"/>
      <c r="F44" s="35"/>
    </row>
    <row r="50" spans="1:3" ht="12.75">
      <c r="A50" s="202" t="s">
        <v>159</v>
      </c>
      <c r="B50" s="202"/>
      <c r="C50" s="202"/>
    </row>
    <row r="51" spans="1:2" ht="12.75">
      <c r="A51" s="203" t="s">
        <v>82</v>
      </c>
      <c r="B51" s="203"/>
    </row>
    <row r="52" spans="1:2" ht="12.75">
      <c r="A52" s="2" t="s">
        <v>148</v>
      </c>
      <c r="B52" s="6">
        <v>100000</v>
      </c>
    </row>
    <row r="53" spans="1:2" ht="12.75">
      <c r="A53" s="2" t="s">
        <v>149</v>
      </c>
      <c r="B53" s="3">
        <v>0.048</v>
      </c>
    </row>
    <row r="54" spans="1:2" ht="12.75">
      <c r="A54" s="13" t="s">
        <v>150</v>
      </c>
      <c r="B54" s="13">
        <v>6</v>
      </c>
    </row>
    <row r="55" spans="1:3" ht="12.75">
      <c r="A55" s="2" t="s">
        <v>126</v>
      </c>
      <c r="B55" s="2"/>
      <c r="C55" s="2">
        <v>12</v>
      </c>
    </row>
    <row r="58" ht="12.75">
      <c r="B58" s="63" t="s">
        <v>83</v>
      </c>
    </row>
    <row r="59" spans="2:3" ht="12.75">
      <c r="B59" s="2" t="s">
        <v>160</v>
      </c>
      <c r="C59" s="3">
        <f>B53/C55</f>
        <v>0.004</v>
      </c>
    </row>
    <row r="60" spans="2:3" ht="12.75">
      <c r="B60" s="2" t="s">
        <v>161</v>
      </c>
      <c r="C60" s="2">
        <f>B54*C55</f>
        <v>72</v>
      </c>
    </row>
    <row r="61" ht="12.75">
      <c r="D61" s="16"/>
    </row>
    <row r="62" ht="12.75">
      <c r="B62" s="1" t="s">
        <v>154</v>
      </c>
    </row>
    <row r="63" spans="2:6" ht="25.5">
      <c r="B63" s="4" t="s">
        <v>155</v>
      </c>
      <c r="C63" s="5" t="s">
        <v>158</v>
      </c>
      <c r="D63" s="4" t="s">
        <v>156</v>
      </c>
      <c r="E63" s="4" t="s">
        <v>157</v>
      </c>
      <c r="F63" s="4" t="s">
        <v>169</v>
      </c>
    </row>
    <row r="64" spans="2:6" ht="12.75">
      <c r="B64" s="7">
        <v>1</v>
      </c>
      <c r="C64" s="8">
        <f>B52</f>
        <v>100000</v>
      </c>
      <c r="D64" s="8">
        <f>IPMT($C$59,$B64,$C$60,-$B$52)</f>
        <v>400</v>
      </c>
      <c r="E64" s="8">
        <f>PPMT($C$59,$B64,$C$60,-$B$52)</f>
        <v>1201.232503666864</v>
      </c>
      <c r="F64" s="8">
        <f>D64+E64</f>
        <v>1601.232503666864</v>
      </c>
    </row>
    <row r="65" spans="2:6" ht="12.75">
      <c r="B65" s="9">
        <v>2</v>
      </c>
      <c r="C65" s="10">
        <f>C64-E64</f>
        <v>98798.76749633314</v>
      </c>
      <c r="D65" s="10">
        <f>IPMT($C$59,$B65,$C$60,-$B$52)</f>
        <v>395.19506998533257</v>
      </c>
      <c r="E65" s="10">
        <f aca="true" t="shared" si="4" ref="E65:E96">PPMT($C$59,$B65,$C$60,-$B$5)</f>
        <v>1206.0374336815314</v>
      </c>
      <c r="F65" s="10">
        <f>D65+E65</f>
        <v>1601.232503666864</v>
      </c>
    </row>
    <row r="66" spans="2:6" ht="12.75">
      <c r="B66" s="9">
        <v>3</v>
      </c>
      <c r="C66" s="10">
        <f aca="true" t="shared" si="5" ref="C66:C129">C65-E65</f>
        <v>97592.73006265161</v>
      </c>
      <c r="D66" s="10">
        <f aca="true" t="shared" si="6" ref="D66:D129">IPMT($C$59,$B66,$C$60,-$B$52)</f>
        <v>390.37092025060645</v>
      </c>
      <c r="E66" s="10">
        <f t="shared" si="4"/>
        <v>1210.8615834162574</v>
      </c>
      <c r="F66" s="10">
        <f aca="true" t="shared" si="7" ref="F66:F129">D66+E66</f>
        <v>1601.232503666864</v>
      </c>
    </row>
    <row r="67" spans="2:6" ht="12.75">
      <c r="B67" s="9">
        <v>4</v>
      </c>
      <c r="C67" s="10">
        <f t="shared" si="5"/>
        <v>96381.86847923535</v>
      </c>
      <c r="D67" s="10">
        <f t="shared" si="6"/>
        <v>385.5274739169414</v>
      </c>
      <c r="E67" s="10">
        <f t="shared" si="4"/>
        <v>1215.7050297499227</v>
      </c>
      <c r="F67" s="10">
        <f t="shared" si="7"/>
        <v>1601.232503666864</v>
      </c>
    </row>
    <row r="68" spans="2:6" ht="12.75">
      <c r="B68" s="9">
        <v>5</v>
      </c>
      <c r="C68" s="10">
        <f t="shared" si="5"/>
        <v>95166.16344948542</v>
      </c>
      <c r="D68" s="10">
        <f t="shared" si="6"/>
        <v>380.6646537979416</v>
      </c>
      <c r="E68" s="10">
        <f t="shared" si="4"/>
        <v>1220.5678498689224</v>
      </c>
      <c r="F68" s="10">
        <f t="shared" si="7"/>
        <v>1601.232503666864</v>
      </c>
    </row>
    <row r="69" spans="2:6" ht="12.75">
      <c r="B69" s="9">
        <v>6</v>
      </c>
      <c r="C69" s="10">
        <f t="shared" si="5"/>
        <v>93945.5955996165</v>
      </c>
      <c r="D69" s="10">
        <f t="shared" si="6"/>
        <v>375.782382398466</v>
      </c>
      <c r="E69" s="10">
        <f t="shared" si="4"/>
        <v>1225.450121268398</v>
      </c>
      <c r="F69" s="10">
        <f t="shared" si="7"/>
        <v>1601.232503666864</v>
      </c>
    </row>
    <row r="70" spans="2:6" ht="12.75">
      <c r="B70" s="9">
        <v>7</v>
      </c>
      <c r="C70" s="10">
        <f t="shared" si="5"/>
        <v>92720.1454783481</v>
      </c>
      <c r="D70" s="10">
        <f t="shared" si="6"/>
        <v>370.8805819133924</v>
      </c>
      <c r="E70" s="10">
        <f t="shared" si="4"/>
        <v>1230.3519217534715</v>
      </c>
      <c r="F70" s="10">
        <f t="shared" si="7"/>
        <v>1601.232503666864</v>
      </c>
    </row>
    <row r="71" spans="2:6" ht="12.75">
      <c r="B71" s="9">
        <v>8</v>
      </c>
      <c r="C71" s="10">
        <f t="shared" si="5"/>
        <v>91489.79355659462</v>
      </c>
      <c r="D71" s="10">
        <f t="shared" si="6"/>
        <v>365.9591742263785</v>
      </c>
      <c r="E71" s="10">
        <f t="shared" si="4"/>
        <v>1235.2733294404854</v>
      </c>
      <c r="F71" s="10">
        <f t="shared" si="7"/>
        <v>1601.232503666864</v>
      </c>
    </row>
    <row r="72" spans="2:6" ht="12.75">
      <c r="B72" s="9">
        <v>9</v>
      </c>
      <c r="C72" s="10">
        <f t="shared" si="5"/>
        <v>90254.52022715413</v>
      </c>
      <c r="D72" s="10">
        <f t="shared" si="6"/>
        <v>361.0180809086164</v>
      </c>
      <c r="E72" s="10">
        <f t="shared" si="4"/>
        <v>1240.2144227582476</v>
      </c>
      <c r="F72" s="10">
        <f t="shared" si="7"/>
        <v>1601.232503666864</v>
      </c>
    </row>
    <row r="73" spans="2:6" ht="12.75">
      <c r="B73" s="9">
        <v>10</v>
      </c>
      <c r="C73" s="10">
        <f t="shared" si="5"/>
        <v>89014.30580439589</v>
      </c>
      <c r="D73" s="10">
        <f t="shared" si="6"/>
        <v>356.0572232175834</v>
      </c>
      <c r="E73" s="10">
        <f t="shared" si="4"/>
        <v>1245.1752804492805</v>
      </c>
      <c r="F73" s="10">
        <f t="shared" si="7"/>
        <v>1601.232503666864</v>
      </c>
    </row>
    <row r="74" spans="2:6" ht="12.75">
      <c r="B74" s="9">
        <v>11</v>
      </c>
      <c r="C74" s="10">
        <f t="shared" si="5"/>
        <v>87769.1305239466</v>
      </c>
      <c r="D74" s="10">
        <f t="shared" si="6"/>
        <v>351.0765220957863</v>
      </c>
      <c r="E74" s="10">
        <f t="shared" si="4"/>
        <v>1250.1559815710777</v>
      </c>
      <c r="F74" s="10">
        <f t="shared" si="7"/>
        <v>1601.232503666864</v>
      </c>
    </row>
    <row r="75" spans="2:6" ht="12.75">
      <c r="B75" s="9">
        <v>12</v>
      </c>
      <c r="C75" s="10">
        <f t="shared" si="5"/>
        <v>86518.97454237552</v>
      </c>
      <c r="D75" s="10">
        <f t="shared" si="6"/>
        <v>346.0758981695019</v>
      </c>
      <c r="E75" s="10">
        <f t="shared" si="4"/>
        <v>1255.156605497362</v>
      </c>
      <c r="F75" s="10">
        <f t="shared" si="7"/>
        <v>1601.232503666864</v>
      </c>
    </row>
    <row r="76" spans="2:6" ht="12.75">
      <c r="B76" s="9">
        <v>13</v>
      </c>
      <c r="C76" s="10">
        <f t="shared" si="5"/>
        <v>85263.81793687816</v>
      </c>
      <c r="D76" s="10">
        <f t="shared" si="6"/>
        <v>341.05527174751245</v>
      </c>
      <c r="E76" s="10">
        <f t="shared" si="4"/>
        <v>1260.1772319193515</v>
      </c>
      <c r="F76" s="10">
        <f t="shared" si="7"/>
        <v>1601.232503666864</v>
      </c>
    </row>
    <row r="77" spans="2:6" ht="12.75">
      <c r="B77" s="9">
        <v>14</v>
      </c>
      <c r="C77" s="10">
        <f t="shared" si="5"/>
        <v>84003.6407049588</v>
      </c>
      <c r="D77" s="10">
        <f t="shared" si="6"/>
        <v>336.014562819835</v>
      </c>
      <c r="E77" s="10">
        <f t="shared" si="4"/>
        <v>1265.217940847029</v>
      </c>
      <c r="F77" s="10">
        <f t="shared" si="7"/>
        <v>1601.232503666864</v>
      </c>
    </row>
    <row r="78" spans="2:6" ht="12.75">
      <c r="B78" s="9">
        <v>15</v>
      </c>
      <c r="C78" s="10">
        <f t="shared" si="5"/>
        <v>82738.42276411178</v>
      </c>
      <c r="D78" s="10">
        <f t="shared" si="6"/>
        <v>330.9536910564468</v>
      </c>
      <c r="E78" s="10">
        <f t="shared" si="4"/>
        <v>1270.2788126104172</v>
      </c>
      <c r="F78" s="10">
        <f t="shared" si="7"/>
        <v>1601.232503666864</v>
      </c>
    </row>
    <row r="79" spans="2:6" ht="12.75">
      <c r="B79" s="9">
        <v>16</v>
      </c>
      <c r="C79" s="10">
        <f t="shared" si="5"/>
        <v>81468.14395150136</v>
      </c>
      <c r="D79" s="10">
        <f t="shared" si="6"/>
        <v>325.8725758060052</v>
      </c>
      <c r="E79" s="10">
        <f t="shared" si="4"/>
        <v>1275.3599278608588</v>
      </c>
      <c r="F79" s="10">
        <f t="shared" si="7"/>
        <v>1601.232503666864</v>
      </c>
    </row>
    <row r="80" spans="2:6" ht="12.75">
      <c r="B80" s="9">
        <v>17</v>
      </c>
      <c r="C80" s="10">
        <f t="shared" si="5"/>
        <v>80192.7840236405</v>
      </c>
      <c r="D80" s="10">
        <f t="shared" si="6"/>
        <v>320.77113609456165</v>
      </c>
      <c r="E80" s="10">
        <f t="shared" si="4"/>
        <v>1280.4613675723024</v>
      </c>
      <c r="F80" s="10">
        <f t="shared" si="7"/>
        <v>1601.232503666864</v>
      </c>
    </row>
    <row r="81" spans="2:6" ht="12.75">
      <c r="B81" s="9">
        <v>18</v>
      </c>
      <c r="C81" s="10">
        <f t="shared" si="5"/>
        <v>78912.3226560682</v>
      </c>
      <c r="D81" s="10">
        <f t="shared" si="6"/>
        <v>315.64929062427245</v>
      </c>
      <c r="E81" s="10">
        <f t="shared" si="4"/>
        <v>1285.5832130425915</v>
      </c>
      <c r="F81" s="10">
        <f t="shared" si="7"/>
        <v>1601.232503666864</v>
      </c>
    </row>
    <row r="82" spans="2:6" ht="12.75">
      <c r="B82" s="9">
        <v>19</v>
      </c>
      <c r="C82" s="10">
        <f t="shared" si="5"/>
        <v>77626.73944302561</v>
      </c>
      <c r="D82" s="10">
        <f t="shared" si="6"/>
        <v>310.506957772102</v>
      </c>
      <c r="E82" s="10">
        <f t="shared" si="4"/>
        <v>1290.725545894762</v>
      </c>
      <c r="F82" s="10">
        <f t="shared" si="7"/>
        <v>1601.232503666864</v>
      </c>
    </row>
    <row r="83" spans="2:6" ht="12.75">
      <c r="B83" s="9">
        <v>20</v>
      </c>
      <c r="C83" s="10">
        <f t="shared" si="5"/>
        <v>76336.01389713085</v>
      </c>
      <c r="D83" s="10">
        <f t="shared" si="6"/>
        <v>305.3440555885232</v>
      </c>
      <c r="E83" s="10">
        <f t="shared" si="4"/>
        <v>1295.8884480783408</v>
      </c>
      <c r="F83" s="10">
        <f t="shared" si="7"/>
        <v>1601.232503666864</v>
      </c>
    </row>
    <row r="84" spans="2:6" ht="12.75">
      <c r="B84" s="9">
        <v>21</v>
      </c>
      <c r="C84" s="10">
        <f t="shared" si="5"/>
        <v>75040.1254490525</v>
      </c>
      <c r="D84" s="10">
        <f t="shared" si="6"/>
        <v>300.1605017962096</v>
      </c>
      <c r="E84" s="10">
        <f t="shared" si="4"/>
        <v>1301.0720018706543</v>
      </c>
      <c r="F84" s="10">
        <f t="shared" si="7"/>
        <v>1601.232503666864</v>
      </c>
    </row>
    <row r="85" spans="2:6" ht="12.75">
      <c r="B85" s="9">
        <v>22</v>
      </c>
      <c r="C85" s="10">
        <f t="shared" si="5"/>
        <v>73739.05344718185</v>
      </c>
      <c r="D85" s="10">
        <f t="shared" si="6"/>
        <v>294.9562137887272</v>
      </c>
      <c r="E85" s="10">
        <f t="shared" si="4"/>
        <v>1306.2762898781368</v>
      </c>
      <c r="F85" s="10">
        <f t="shared" si="7"/>
        <v>1601.232503666864</v>
      </c>
    </row>
    <row r="86" spans="2:6" ht="12.75">
      <c r="B86" s="9">
        <v>23</v>
      </c>
      <c r="C86" s="10">
        <f t="shared" si="5"/>
        <v>72432.77715730372</v>
      </c>
      <c r="D86" s="10">
        <f t="shared" si="6"/>
        <v>289.7311086292145</v>
      </c>
      <c r="E86" s="10">
        <f t="shared" si="4"/>
        <v>1311.5013950376494</v>
      </c>
      <c r="F86" s="10">
        <f t="shared" si="7"/>
        <v>1601.232503666864</v>
      </c>
    </row>
    <row r="87" spans="2:6" ht="12.75">
      <c r="B87" s="9">
        <v>24</v>
      </c>
      <c r="C87" s="10">
        <f t="shared" si="5"/>
        <v>71121.27576226607</v>
      </c>
      <c r="D87" s="10">
        <f t="shared" si="6"/>
        <v>284.48510304906404</v>
      </c>
      <c r="E87" s="10">
        <f t="shared" si="4"/>
        <v>1316.7474006178</v>
      </c>
      <c r="F87" s="10">
        <f t="shared" si="7"/>
        <v>1601.232503666864</v>
      </c>
    </row>
    <row r="88" spans="2:6" ht="12.75">
      <c r="B88" s="9">
        <v>25</v>
      </c>
      <c r="C88" s="10">
        <f t="shared" si="5"/>
        <v>69804.52836164828</v>
      </c>
      <c r="D88" s="10">
        <f t="shared" si="6"/>
        <v>279.2181134465926</v>
      </c>
      <c r="E88" s="10">
        <f t="shared" si="4"/>
        <v>1322.0143902202713</v>
      </c>
      <c r="F88" s="10">
        <f t="shared" si="7"/>
        <v>1601.232503666864</v>
      </c>
    </row>
    <row r="89" spans="2:6" ht="12.75">
      <c r="B89" s="9">
        <v>26</v>
      </c>
      <c r="C89" s="10">
        <f t="shared" si="5"/>
        <v>68482.51397142801</v>
      </c>
      <c r="D89" s="10">
        <f t="shared" si="6"/>
        <v>273.93005588571145</v>
      </c>
      <c r="E89" s="10">
        <f t="shared" si="4"/>
        <v>1327.3024477811525</v>
      </c>
      <c r="F89" s="10">
        <f t="shared" si="7"/>
        <v>1601.232503666864</v>
      </c>
    </row>
    <row r="90" spans="2:6" ht="12.75">
      <c r="B90" s="9">
        <v>27</v>
      </c>
      <c r="C90" s="10">
        <f t="shared" si="5"/>
        <v>67155.21152364685</v>
      </c>
      <c r="D90" s="10">
        <f t="shared" si="6"/>
        <v>268.62084609458685</v>
      </c>
      <c r="E90" s="10">
        <f t="shared" si="4"/>
        <v>1332.6116575722772</v>
      </c>
      <c r="F90" s="10">
        <f t="shared" si="7"/>
        <v>1601.232503666864</v>
      </c>
    </row>
    <row r="91" spans="2:6" ht="12.75">
      <c r="B91" s="9">
        <v>28</v>
      </c>
      <c r="C91" s="10">
        <f t="shared" si="5"/>
        <v>65822.59986607457</v>
      </c>
      <c r="D91" s="10">
        <f t="shared" si="6"/>
        <v>263.29039946429776</v>
      </c>
      <c r="E91" s="10">
        <f t="shared" si="4"/>
        <v>1337.9421042025663</v>
      </c>
      <c r="F91" s="10">
        <f t="shared" si="7"/>
        <v>1601.232503666864</v>
      </c>
    </row>
    <row r="92" spans="2:6" ht="12.75">
      <c r="B92" s="9">
        <v>29</v>
      </c>
      <c r="C92" s="10">
        <f t="shared" si="5"/>
        <v>64484.657761872004</v>
      </c>
      <c r="D92" s="10">
        <f t="shared" si="6"/>
        <v>257.93863104748726</v>
      </c>
      <c r="E92" s="10">
        <f t="shared" si="4"/>
        <v>1343.2938726193768</v>
      </c>
      <c r="F92" s="10">
        <f t="shared" si="7"/>
        <v>1601.232503666864</v>
      </c>
    </row>
    <row r="93" spans="2:6" ht="12.75">
      <c r="B93" s="9">
        <v>30</v>
      </c>
      <c r="C93" s="10">
        <f t="shared" si="5"/>
        <v>63141.36388925263</v>
      </c>
      <c r="D93" s="10">
        <f t="shared" si="6"/>
        <v>252.5654555570098</v>
      </c>
      <c r="E93" s="10">
        <f t="shared" si="4"/>
        <v>1348.6670481098542</v>
      </c>
      <c r="F93" s="10">
        <f t="shared" si="7"/>
        <v>1601.232503666864</v>
      </c>
    </row>
    <row r="94" spans="2:6" ht="12.75">
      <c r="B94" s="9">
        <v>31</v>
      </c>
      <c r="C94" s="10">
        <f t="shared" si="5"/>
        <v>61792.69684114277</v>
      </c>
      <c r="D94" s="10">
        <f t="shared" si="6"/>
        <v>247.17078736457043</v>
      </c>
      <c r="E94" s="10">
        <f t="shared" si="4"/>
        <v>1354.0617163022935</v>
      </c>
      <c r="F94" s="10">
        <f t="shared" si="7"/>
        <v>1601.232503666864</v>
      </c>
    </row>
    <row r="95" spans="2:6" ht="12.75">
      <c r="B95" s="9">
        <v>32</v>
      </c>
      <c r="C95" s="10">
        <f t="shared" si="5"/>
        <v>60438.63512484048</v>
      </c>
      <c r="D95" s="10">
        <f t="shared" si="6"/>
        <v>241.7545404993613</v>
      </c>
      <c r="E95" s="10">
        <f t="shared" si="4"/>
        <v>1359.4779631675026</v>
      </c>
      <c r="F95" s="10">
        <f t="shared" si="7"/>
        <v>1601.232503666864</v>
      </c>
    </row>
    <row r="96" spans="2:6" ht="12.75">
      <c r="B96" s="9">
        <v>33</v>
      </c>
      <c r="C96" s="10">
        <f t="shared" si="5"/>
        <v>59079.15716167298</v>
      </c>
      <c r="D96" s="10">
        <f t="shared" si="6"/>
        <v>236.31662864669113</v>
      </c>
      <c r="E96" s="10">
        <f t="shared" si="4"/>
        <v>1364.9158750201727</v>
      </c>
      <c r="F96" s="10">
        <f t="shared" si="7"/>
        <v>1601.232503666864</v>
      </c>
    </row>
    <row r="97" spans="2:6" ht="12.75">
      <c r="B97" s="9">
        <v>34</v>
      </c>
      <c r="C97" s="10">
        <f t="shared" si="5"/>
        <v>57714.2412866528</v>
      </c>
      <c r="D97" s="10">
        <f t="shared" si="6"/>
        <v>230.85696514661035</v>
      </c>
      <c r="E97" s="10">
        <f aca="true" t="shared" si="8" ref="E97:E128">PPMT($C$59,$B97,$C$60,-$B$5)</f>
        <v>1370.3755385202537</v>
      </c>
      <c r="F97" s="10">
        <f t="shared" si="7"/>
        <v>1601.232503666864</v>
      </c>
    </row>
    <row r="98" spans="2:6" ht="12.75">
      <c r="B98" s="9">
        <v>35</v>
      </c>
      <c r="C98" s="10">
        <f t="shared" si="5"/>
        <v>56343.86574813255</v>
      </c>
      <c r="D98" s="10">
        <f t="shared" si="6"/>
        <v>225.37546299252924</v>
      </c>
      <c r="E98" s="10">
        <f t="shared" si="8"/>
        <v>1375.8570406743347</v>
      </c>
      <c r="F98" s="10">
        <f t="shared" si="7"/>
        <v>1601.232503666864</v>
      </c>
    </row>
    <row r="99" spans="2:6" ht="12.75">
      <c r="B99" s="9">
        <v>36</v>
      </c>
      <c r="C99" s="10">
        <f t="shared" si="5"/>
        <v>54968.00870745821</v>
      </c>
      <c r="D99" s="10">
        <f t="shared" si="6"/>
        <v>219.87203482983196</v>
      </c>
      <c r="E99" s="10">
        <f t="shared" si="8"/>
        <v>1381.360468837032</v>
      </c>
      <c r="F99" s="10">
        <f t="shared" si="7"/>
        <v>1601.232503666864</v>
      </c>
    </row>
    <row r="100" spans="2:6" ht="12.75">
      <c r="B100" s="9">
        <v>37</v>
      </c>
      <c r="C100" s="10">
        <f t="shared" si="5"/>
        <v>53586.64823862118</v>
      </c>
      <c r="D100" s="10">
        <f t="shared" si="6"/>
        <v>214.34659295448373</v>
      </c>
      <c r="E100" s="10">
        <f t="shared" si="8"/>
        <v>1386.8859107123803</v>
      </c>
      <c r="F100" s="10">
        <f t="shared" si="7"/>
        <v>1601.232503666864</v>
      </c>
    </row>
    <row r="101" spans="2:6" ht="12.75">
      <c r="B101" s="9">
        <v>38</v>
      </c>
      <c r="C101" s="10">
        <f t="shared" si="5"/>
        <v>52199.7623279088</v>
      </c>
      <c r="D101" s="10">
        <f t="shared" si="6"/>
        <v>208.7990493116343</v>
      </c>
      <c r="E101" s="10">
        <f t="shared" si="8"/>
        <v>1392.4334543552297</v>
      </c>
      <c r="F101" s="10">
        <f t="shared" si="7"/>
        <v>1601.232503666864</v>
      </c>
    </row>
    <row r="102" spans="2:6" ht="12.75">
      <c r="B102" s="9">
        <v>39</v>
      </c>
      <c r="C102" s="10">
        <f t="shared" si="5"/>
        <v>50807.32887355357</v>
      </c>
      <c r="D102" s="10">
        <f t="shared" si="6"/>
        <v>203.2293154942135</v>
      </c>
      <c r="E102" s="10">
        <f t="shared" si="8"/>
        <v>1398.0031881726504</v>
      </c>
      <c r="F102" s="10">
        <f t="shared" si="7"/>
        <v>1601.232503666864</v>
      </c>
    </row>
    <row r="103" spans="2:6" ht="12.75">
      <c r="B103" s="9">
        <v>40</v>
      </c>
      <c r="C103" s="10">
        <f t="shared" si="5"/>
        <v>49409.325685380914</v>
      </c>
      <c r="D103" s="10">
        <f t="shared" si="6"/>
        <v>197.63730274152297</v>
      </c>
      <c r="E103" s="10">
        <f t="shared" si="8"/>
        <v>1403.595200925341</v>
      </c>
      <c r="F103" s="10">
        <f t="shared" si="7"/>
        <v>1601.232503666864</v>
      </c>
    </row>
    <row r="104" spans="2:6" ht="12.75">
      <c r="B104" s="9">
        <v>41</v>
      </c>
      <c r="C104" s="10">
        <f t="shared" si="5"/>
        <v>48005.73048445558</v>
      </c>
      <c r="D104" s="10">
        <f t="shared" si="6"/>
        <v>192.0229219378212</v>
      </c>
      <c r="E104" s="10">
        <f t="shared" si="8"/>
        <v>1409.2095817290428</v>
      </c>
      <c r="F104" s="10">
        <f t="shared" si="7"/>
        <v>1601.232503666864</v>
      </c>
    </row>
    <row r="105" spans="2:6" ht="12.75">
      <c r="B105" s="9">
        <v>42</v>
      </c>
      <c r="C105" s="10">
        <f t="shared" si="5"/>
        <v>46596.52090272654</v>
      </c>
      <c r="D105" s="10">
        <f t="shared" si="6"/>
        <v>186.38608361090522</v>
      </c>
      <c r="E105" s="10">
        <f t="shared" si="8"/>
        <v>1414.8464200559588</v>
      </c>
      <c r="F105" s="10">
        <f t="shared" si="7"/>
        <v>1601.232503666864</v>
      </c>
    </row>
    <row r="106" spans="2:6" ht="12.75">
      <c r="B106" s="9">
        <v>43</v>
      </c>
      <c r="C106" s="10">
        <f t="shared" si="5"/>
        <v>45181.674482670576</v>
      </c>
      <c r="D106" s="10">
        <f t="shared" si="6"/>
        <v>180.72669793068124</v>
      </c>
      <c r="E106" s="10">
        <f t="shared" si="8"/>
        <v>1420.5058057361828</v>
      </c>
      <c r="F106" s="10">
        <f t="shared" si="7"/>
        <v>1601.232503666864</v>
      </c>
    </row>
    <row r="107" spans="2:6" ht="12.75">
      <c r="B107" s="9">
        <v>44</v>
      </c>
      <c r="C107" s="10">
        <f t="shared" si="5"/>
        <v>43761.168676934394</v>
      </c>
      <c r="D107" s="10">
        <f t="shared" si="6"/>
        <v>175.04467470773653</v>
      </c>
      <c r="E107" s="10">
        <f t="shared" si="8"/>
        <v>1426.1878289591275</v>
      </c>
      <c r="F107" s="10">
        <f t="shared" si="7"/>
        <v>1601.232503666864</v>
      </c>
    </row>
    <row r="108" spans="2:6" ht="12.75">
      <c r="B108" s="9">
        <v>45</v>
      </c>
      <c r="C108" s="10">
        <f t="shared" si="5"/>
        <v>42334.98084797527</v>
      </c>
      <c r="D108" s="10">
        <f t="shared" si="6"/>
        <v>169.3399233918999</v>
      </c>
      <c r="E108" s="10">
        <f t="shared" si="8"/>
        <v>1431.892580274964</v>
      </c>
      <c r="F108" s="10">
        <f t="shared" si="7"/>
        <v>1601.232503666864</v>
      </c>
    </row>
    <row r="109" spans="2:6" ht="12.75">
      <c r="B109" s="9">
        <v>46</v>
      </c>
      <c r="C109" s="10">
        <f t="shared" si="5"/>
        <v>40903.0882677003</v>
      </c>
      <c r="D109" s="10">
        <f t="shared" si="6"/>
        <v>163.6123530708002</v>
      </c>
      <c r="E109" s="10">
        <f t="shared" si="8"/>
        <v>1437.6201505960637</v>
      </c>
      <c r="F109" s="10">
        <f t="shared" si="7"/>
        <v>1601.232503666864</v>
      </c>
    </row>
    <row r="110" spans="2:6" ht="12.75">
      <c r="B110" s="9">
        <v>47</v>
      </c>
      <c r="C110" s="10">
        <f t="shared" si="5"/>
        <v>39465.46811710424</v>
      </c>
      <c r="D110" s="10">
        <f t="shared" si="6"/>
        <v>157.8618724684157</v>
      </c>
      <c r="E110" s="10">
        <f t="shared" si="8"/>
        <v>1443.3706311984483</v>
      </c>
      <c r="F110" s="10">
        <f t="shared" si="7"/>
        <v>1601.232503666864</v>
      </c>
    </row>
    <row r="111" spans="2:6" ht="12.75">
      <c r="B111" s="9">
        <v>48</v>
      </c>
      <c r="C111" s="10">
        <f t="shared" si="5"/>
        <v>38022.09748590579</v>
      </c>
      <c r="D111" s="10">
        <f t="shared" si="6"/>
        <v>152.08838994362193</v>
      </c>
      <c r="E111" s="10">
        <f t="shared" si="8"/>
        <v>1449.144113723242</v>
      </c>
      <c r="F111" s="10">
        <f t="shared" si="7"/>
        <v>1601.232503666864</v>
      </c>
    </row>
    <row r="112" spans="2:6" ht="12.75">
      <c r="B112" s="9">
        <v>49</v>
      </c>
      <c r="C112" s="10">
        <f t="shared" si="5"/>
        <v>36572.95337218255</v>
      </c>
      <c r="D112" s="10">
        <f t="shared" si="6"/>
        <v>146.2918134887289</v>
      </c>
      <c r="E112" s="10">
        <f t="shared" si="8"/>
        <v>1454.9406901781351</v>
      </c>
      <c r="F112" s="10">
        <f t="shared" si="7"/>
        <v>1601.232503666864</v>
      </c>
    </row>
    <row r="113" spans="2:6" ht="12.75">
      <c r="B113" s="9">
        <v>50</v>
      </c>
      <c r="C113" s="10">
        <f t="shared" si="5"/>
        <v>35118.01268200442</v>
      </c>
      <c r="D113" s="10">
        <f t="shared" si="6"/>
        <v>140.47205072801648</v>
      </c>
      <c r="E113" s="10">
        <f t="shared" si="8"/>
        <v>1460.7604529388475</v>
      </c>
      <c r="F113" s="10">
        <f t="shared" si="7"/>
        <v>1601.232503666864</v>
      </c>
    </row>
    <row r="114" spans="2:6" ht="12.75">
      <c r="B114" s="9">
        <v>51</v>
      </c>
      <c r="C114" s="10">
        <f t="shared" si="5"/>
        <v>33657.25222906557</v>
      </c>
      <c r="D114" s="10">
        <f t="shared" si="6"/>
        <v>134.62900891626103</v>
      </c>
      <c r="E114" s="10">
        <f t="shared" si="8"/>
        <v>1466.603494750603</v>
      </c>
      <c r="F114" s="10">
        <f t="shared" si="7"/>
        <v>1601.232503666864</v>
      </c>
    </row>
    <row r="115" spans="2:6" ht="12.75">
      <c r="B115" s="9">
        <v>52</v>
      </c>
      <c r="C115" s="10">
        <f t="shared" si="5"/>
        <v>32190.648734314967</v>
      </c>
      <c r="D115" s="10">
        <f t="shared" si="6"/>
        <v>128.76259493725863</v>
      </c>
      <c r="E115" s="10">
        <f t="shared" si="8"/>
        <v>1472.4699087296053</v>
      </c>
      <c r="F115" s="10">
        <f t="shared" si="7"/>
        <v>1601.232503666864</v>
      </c>
    </row>
    <row r="116" spans="2:6" ht="12.75">
      <c r="B116" s="9">
        <v>53</v>
      </c>
      <c r="C116" s="10">
        <f t="shared" si="5"/>
        <v>30718.17882558536</v>
      </c>
      <c r="D116" s="10">
        <f t="shared" si="6"/>
        <v>122.87271530234011</v>
      </c>
      <c r="E116" s="10">
        <f t="shared" si="8"/>
        <v>1478.3597883645239</v>
      </c>
      <c r="F116" s="10">
        <f t="shared" si="7"/>
        <v>1601.232503666864</v>
      </c>
    </row>
    <row r="117" spans="2:6" ht="12.75">
      <c r="B117" s="9">
        <v>54</v>
      </c>
      <c r="C117" s="10">
        <f t="shared" si="5"/>
        <v>29239.819037220837</v>
      </c>
      <c r="D117" s="10">
        <f t="shared" si="6"/>
        <v>116.95927614888217</v>
      </c>
      <c r="E117" s="10">
        <f t="shared" si="8"/>
        <v>1484.273227517982</v>
      </c>
      <c r="F117" s="10">
        <f t="shared" si="7"/>
        <v>1601.232503666864</v>
      </c>
    </row>
    <row r="118" spans="2:6" ht="12.75">
      <c r="B118" s="9">
        <v>55</v>
      </c>
      <c r="C118" s="10">
        <f t="shared" si="5"/>
        <v>27755.545809702857</v>
      </c>
      <c r="D118" s="10">
        <f t="shared" si="6"/>
        <v>111.02218323881023</v>
      </c>
      <c r="E118" s="10">
        <f t="shared" si="8"/>
        <v>1490.2103204280538</v>
      </c>
      <c r="F118" s="10">
        <f t="shared" si="7"/>
        <v>1601.232503666864</v>
      </c>
    </row>
    <row r="119" spans="2:6" ht="12.75">
      <c r="B119" s="9">
        <v>56</v>
      </c>
      <c r="C119" s="10">
        <f t="shared" si="5"/>
        <v>26265.335489274803</v>
      </c>
      <c r="D119" s="10">
        <f t="shared" si="6"/>
        <v>105.06134195709811</v>
      </c>
      <c r="E119" s="10">
        <f t="shared" si="8"/>
        <v>1496.1711617097658</v>
      </c>
      <c r="F119" s="10">
        <f t="shared" si="7"/>
        <v>1601.232503666864</v>
      </c>
    </row>
    <row r="120" spans="2:6" ht="12.75">
      <c r="B120" s="9">
        <v>57</v>
      </c>
      <c r="C120" s="10">
        <f t="shared" si="5"/>
        <v>24769.16432756504</v>
      </c>
      <c r="D120" s="10">
        <f t="shared" si="6"/>
        <v>99.07665731025871</v>
      </c>
      <c r="E120" s="10">
        <f t="shared" si="8"/>
        <v>1502.1558463566053</v>
      </c>
      <c r="F120" s="10">
        <f t="shared" si="7"/>
        <v>1601.232503666864</v>
      </c>
    </row>
    <row r="121" spans="2:6" ht="12.75">
      <c r="B121" s="9">
        <v>58</v>
      </c>
      <c r="C121" s="10">
        <f t="shared" si="5"/>
        <v>23267.00848120843</v>
      </c>
      <c r="D121" s="10">
        <f t="shared" si="6"/>
        <v>93.06803392483242</v>
      </c>
      <c r="E121" s="10">
        <f t="shared" si="8"/>
        <v>1508.1644697420315</v>
      </c>
      <c r="F121" s="10">
        <f t="shared" si="7"/>
        <v>1601.232503666864</v>
      </c>
    </row>
    <row r="122" spans="2:6" ht="12.75">
      <c r="B122" s="9">
        <v>59</v>
      </c>
      <c r="C122" s="10">
        <f t="shared" si="5"/>
        <v>21758.8440114664</v>
      </c>
      <c r="D122" s="10">
        <f t="shared" si="6"/>
        <v>87.03537604586408</v>
      </c>
      <c r="E122" s="10">
        <f t="shared" si="8"/>
        <v>1514.197127621</v>
      </c>
      <c r="F122" s="10">
        <f t="shared" si="7"/>
        <v>1601.232503666864</v>
      </c>
    </row>
    <row r="123" spans="2:6" ht="12.75">
      <c r="B123" s="9">
        <v>60</v>
      </c>
      <c r="C123" s="10">
        <f t="shared" si="5"/>
        <v>20244.646883845402</v>
      </c>
      <c r="D123" s="10">
        <f t="shared" si="6"/>
        <v>80.97858753538033</v>
      </c>
      <c r="E123" s="10">
        <f t="shared" si="8"/>
        <v>1520.2539161314837</v>
      </c>
      <c r="F123" s="10">
        <f t="shared" si="7"/>
        <v>1601.232503666864</v>
      </c>
    </row>
    <row r="124" spans="2:6" ht="12.75">
      <c r="B124" s="9">
        <v>61</v>
      </c>
      <c r="C124" s="10">
        <f t="shared" si="5"/>
        <v>18724.392967713917</v>
      </c>
      <c r="D124" s="10">
        <f t="shared" si="6"/>
        <v>74.89757187085395</v>
      </c>
      <c r="E124" s="10">
        <f t="shared" si="8"/>
        <v>1526.33493179601</v>
      </c>
      <c r="F124" s="10">
        <f t="shared" si="7"/>
        <v>1601.232503666864</v>
      </c>
    </row>
    <row r="125" spans="2:6" ht="12.75">
      <c r="B125" s="9">
        <v>62</v>
      </c>
      <c r="C125" s="10">
        <f t="shared" si="5"/>
        <v>17198.058035917908</v>
      </c>
      <c r="D125" s="10">
        <f t="shared" si="6"/>
        <v>68.79223214366998</v>
      </c>
      <c r="E125" s="10">
        <f t="shared" si="8"/>
        <v>1532.440271523194</v>
      </c>
      <c r="F125" s="10">
        <f t="shared" si="7"/>
        <v>1601.232503666864</v>
      </c>
    </row>
    <row r="126" spans="2:6" ht="12.75">
      <c r="B126" s="9">
        <v>63</v>
      </c>
      <c r="C126" s="10">
        <f t="shared" si="5"/>
        <v>15665.617764394714</v>
      </c>
      <c r="D126" s="10">
        <f t="shared" si="6"/>
        <v>62.662471057577406</v>
      </c>
      <c r="E126" s="10">
        <f t="shared" si="8"/>
        <v>1538.5700326092865</v>
      </c>
      <c r="F126" s="10">
        <f t="shared" si="7"/>
        <v>1601.232503666864</v>
      </c>
    </row>
    <row r="127" spans="2:6" ht="12.75">
      <c r="B127" s="9">
        <v>64</v>
      </c>
      <c r="C127" s="10">
        <f t="shared" si="5"/>
        <v>14127.047731785427</v>
      </c>
      <c r="D127" s="10">
        <f t="shared" si="6"/>
        <v>56.50819092714013</v>
      </c>
      <c r="E127" s="10">
        <f t="shared" si="8"/>
        <v>1544.724312739724</v>
      </c>
      <c r="F127" s="10">
        <f t="shared" si="7"/>
        <v>1601.232503666864</v>
      </c>
    </row>
    <row r="128" spans="2:6" ht="12.75">
      <c r="B128" s="9">
        <v>65</v>
      </c>
      <c r="C128" s="10">
        <f t="shared" si="5"/>
        <v>12582.323419045704</v>
      </c>
      <c r="D128" s="10">
        <f t="shared" si="6"/>
        <v>50.329293676181116</v>
      </c>
      <c r="E128" s="10">
        <f t="shared" si="8"/>
        <v>1550.9032099906829</v>
      </c>
      <c r="F128" s="10">
        <f t="shared" si="7"/>
        <v>1601.232503666864</v>
      </c>
    </row>
    <row r="129" spans="2:6" ht="12.75">
      <c r="B129" s="9">
        <v>66</v>
      </c>
      <c r="C129" s="10">
        <f t="shared" si="5"/>
        <v>11031.42020905502</v>
      </c>
      <c r="D129" s="10">
        <f t="shared" si="6"/>
        <v>44.12568083621853</v>
      </c>
      <c r="E129" s="10">
        <f aca="true" t="shared" si="9" ref="E129:E135">PPMT($C$59,$B129,$C$60,-$B$5)</f>
        <v>1557.1068228306453</v>
      </c>
      <c r="F129" s="10">
        <f t="shared" si="7"/>
        <v>1601.232503666864</v>
      </c>
    </row>
    <row r="130" spans="2:6" ht="12.75">
      <c r="B130" s="9">
        <v>67</v>
      </c>
      <c r="C130" s="10">
        <f aca="true" t="shared" si="10" ref="C130:C135">C129-E129</f>
        <v>9474.313386224376</v>
      </c>
      <c r="D130" s="10">
        <f aca="true" t="shared" si="11" ref="D130:D135">IPMT($C$59,$B130,$C$60,-$B$52)</f>
        <v>37.897253544895676</v>
      </c>
      <c r="E130" s="10">
        <f t="shared" si="9"/>
        <v>1563.3352501219683</v>
      </c>
      <c r="F130" s="10">
        <f aca="true" t="shared" si="12" ref="F130:F135">D130+E130</f>
        <v>1601.232503666864</v>
      </c>
    </row>
    <row r="131" spans="2:6" ht="12.75">
      <c r="B131" s="9">
        <v>68</v>
      </c>
      <c r="C131" s="10">
        <f t="shared" si="10"/>
        <v>7910.978136102407</v>
      </c>
      <c r="D131" s="10">
        <f t="shared" si="11"/>
        <v>31.643912544407826</v>
      </c>
      <c r="E131" s="10">
        <f t="shared" si="9"/>
        <v>1569.5885911224561</v>
      </c>
      <c r="F131" s="10">
        <f t="shared" si="12"/>
        <v>1601.232503666864</v>
      </c>
    </row>
    <row r="132" spans="2:6" ht="12.75">
      <c r="B132" s="9">
        <v>69</v>
      </c>
      <c r="C132" s="10">
        <f t="shared" si="10"/>
        <v>6341.389544979951</v>
      </c>
      <c r="D132" s="10">
        <f t="shared" si="11"/>
        <v>25.36555817991792</v>
      </c>
      <c r="E132" s="10">
        <f t="shared" si="9"/>
        <v>1575.866945486946</v>
      </c>
      <c r="F132" s="10">
        <f t="shared" si="12"/>
        <v>1601.232503666864</v>
      </c>
    </row>
    <row r="133" spans="2:6" ht="12.75">
      <c r="B133" s="9">
        <v>70</v>
      </c>
      <c r="C133" s="10">
        <f t="shared" si="10"/>
        <v>4765.522599493005</v>
      </c>
      <c r="D133" s="10">
        <f t="shared" si="11"/>
        <v>19.0620903979704</v>
      </c>
      <c r="E133" s="10">
        <f t="shared" si="9"/>
        <v>1582.1704132688935</v>
      </c>
      <c r="F133" s="10">
        <f t="shared" si="12"/>
        <v>1601.232503666864</v>
      </c>
    </row>
    <row r="134" spans="2:6" ht="12.75">
      <c r="B134" s="9">
        <v>71</v>
      </c>
      <c r="C134" s="10">
        <f t="shared" si="10"/>
        <v>3183.3521862241114</v>
      </c>
      <c r="D134" s="10">
        <f t="shared" si="11"/>
        <v>12.733408744894783</v>
      </c>
      <c r="E134" s="10">
        <f t="shared" si="9"/>
        <v>1588.4990949219691</v>
      </c>
      <c r="F134" s="10">
        <f t="shared" si="12"/>
        <v>1601.232503666864</v>
      </c>
    </row>
    <row r="135" spans="2:6" ht="12.75">
      <c r="B135" s="11">
        <v>72</v>
      </c>
      <c r="C135" s="12">
        <f t="shared" si="10"/>
        <v>1594.8530913021423</v>
      </c>
      <c r="D135" s="12">
        <f t="shared" si="11"/>
        <v>6.379412365206983</v>
      </c>
      <c r="E135" s="12">
        <f t="shared" si="9"/>
        <v>1594.853091301657</v>
      </c>
      <c r="F135" s="12">
        <f t="shared" si="12"/>
        <v>1601.232503666864</v>
      </c>
    </row>
    <row r="138" ht="12.75">
      <c r="B138" s="1" t="s">
        <v>127</v>
      </c>
    </row>
    <row r="139" spans="2:5" ht="12.75">
      <c r="B139" s="1" t="s">
        <v>138</v>
      </c>
      <c r="C139" s="67"/>
      <c r="D139" s="67"/>
      <c r="E139" s="67"/>
    </row>
    <row r="140" spans="2:5" ht="12.75">
      <c r="B140" s="199" t="s">
        <v>129</v>
      </c>
      <c r="C140" s="199"/>
      <c r="D140" s="30" t="s">
        <v>131</v>
      </c>
      <c r="E140" s="30" t="s">
        <v>130</v>
      </c>
    </row>
    <row r="141" spans="2:5" ht="12.75">
      <c r="B141" s="30" t="s">
        <v>135</v>
      </c>
      <c r="C141" s="30"/>
      <c r="D141" s="119">
        <f>C12</f>
        <v>0.012</v>
      </c>
      <c r="E141" s="119">
        <f>C59</f>
        <v>0.004</v>
      </c>
    </row>
    <row r="142" spans="2:5" ht="12.75">
      <c r="B142" s="30" t="s">
        <v>136</v>
      </c>
      <c r="C142" s="30"/>
      <c r="D142" s="120">
        <v>4</v>
      </c>
      <c r="E142" s="120">
        <v>12</v>
      </c>
    </row>
    <row r="143" spans="2:5" ht="12.75" customHeight="1">
      <c r="B143" s="204" t="s">
        <v>132</v>
      </c>
      <c r="C143" s="199"/>
      <c r="D143" s="121">
        <f>F40</f>
        <v>4820.206504250082</v>
      </c>
      <c r="E143" s="121">
        <f>F135</f>
        <v>1601.232503666864</v>
      </c>
    </row>
    <row r="144" spans="2:5" ht="12.75">
      <c r="B144" s="200" t="s">
        <v>134</v>
      </c>
      <c r="C144" s="201"/>
      <c r="D144" s="30">
        <f>B40</f>
        <v>24</v>
      </c>
      <c r="E144" s="30">
        <f>B135</f>
        <v>72</v>
      </c>
    </row>
    <row r="146" ht="12.75">
      <c r="B146" s="63" t="s">
        <v>137</v>
      </c>
    </row>
    <row r="147" spans="2:5" ht="12.75">
      <c r="B147" s="199" t="s">
        <v>129</v>
      </c>
      <c r="C147" s="199"/>
      <c r="D147" s="74" t="s">
        <v>131</v>
      </c>
      <c r="E147" s="74" t="s">
        <v>130</v>
      </c>
    </row>
    <row r="148" spans="2:5" ht="12.75">
      <c r="B148" s="71" t="s">
        <v>133</v>
      </c>
      <c r="C148" s="71"/>
      <c r="D148" s="15">
        <f>D144*D143-100000</f>
        <v>15684.956102001961</v>
      </c>
      <c r="E148" s="15">
        <f>E144*E143-100000</f>
        <v>15288.74026401421</v>
      </c>
    </row>
    <row r="149" spans="2:5" ht="12.75">
      <c r="B149" s="72" t="s">
        <v>128</v>
      </c>
      <c r="C149" s="73"/>
      <c r="D149" s="17">
        <f>(1+D141)^D142-1</f>
        <v>0.04887093273599996</v>
      </c>
      <c r="E149" s="17">
        <f>(1+E141)^E142-1</f>
        <v>0.049070207534805954</v>
      </c>
    </row>
    <row r="152" ht="12.75">
      <c r="B152" s="1"/>
    </row>
  </sheetData>
  <mergeCells count="6">
    <mergeCell ref="B140:C140"/>
    <mergeCell ref="B144:C144"/>
    <mergeCell ref="B147:C147"/>
    <mergeCell ref="A50:C50"/>
    <mergeCell ref="A51:B51"/>
    <mergeCell ref="B143:C143"/>
  </mergeCells>
  <printOptions/>
  <pageMargins left="0.75" right="0.75" top="1" bottom="1" header="0.4921259845" footer="0.4921259845"/>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F58"/>
  <sheetViews>
    <sheetView workbookViewId="0" topLeftCell="A1">
      <selection activeCell="H20" sqref="H20:I31"/>
    </sheetView>
  </sheetViews>
  <sheetFormatPr defaultColWidth="11.00390625" defaultRowHeight="12.75"/>
  <cols>
    <col min="2" max="2" width="11.75390625" style="0" customWidth="1"/>
    <col min="3" max="3" width="12.125" style="0" customWidth="1"/>
    <col min="6" max="6" width="10.625" style="0" customWidth="1"/>
  </cols>
  <sheetData>
    <row r="1" ht="12.75">
      <c r="A1" s="1" t="s">
        <v>57</v>
      </c>
    </row>
    <row r="2" ht="12.75">
      <c r="A2" s="1"/>
    </row>
    <row r="3" ht="12.75">
      <c r="A3" s="1" t="s">
        <v>95</v>
      </c>
    </row>
    <row r="4" spans="1:3" ht="12.75">
      <c r="A4" s="2" t="s">
        <v>148</v>
      </c>
      <c r="B4" s="6">
        <v>100000</v>
      </c>
      <c r="C4" t="s">
        <v>139</v>
      </c>
    </row>
    <row r="5" spans="1:2" ht="12.75">
      <c r="A5" s="2" t="s">
        <v>140</v>
      </c>
      <c r="B5" s="3">
        <v>0.048</v>
      </c>
    </row>
    <row r="6" spans="1:3" ht="13.5" thickBot="1">
      <c r="A6" s="22" t="s">
        <v>141</v>
      </c>
      <c r="B6" s="22">
        <v>3</v>
      </c>
      <c r="C6" t="s">
        <v>164</v>
      </c>
    </row>
    <row r="7" spans="1:2" ht="13.5" thickTop="1">
      <c r="A7" s="20" t="s">
        <v>142</v>
      </c>
      <c r="B7" s="21">
        <v>0.042</v>
      </c>
    </row>
    <row r="8" spans="1:3" ht="12.75">
      <c r="A8" s="2" t="s">
        <v>147</v>
      </c>
      <c r="B8" s="2">
        <v>3</v>
      </c>
      <c r="C8" t="s">
        <v>164</v>
      </c>
    </row>
    <row r="10" ht="12.75">
      <c r="A10" s="98" t="s">
        <v>96</v>
      </c>
    </row>
    <row r="11" spans="1:3" ht="12.75">
      <c r="A11" s="97" t="s">
        <v>97</v>
      </c>
      <c r="B11" s="95"/>
      <c r="C11" s="99">
        <v>0.005</v>
      </c>
    </row>
    <row r="14" ht="12.75">
      <c r="B14" s="1"/>
    </row>
    <row r="15" spans="1:3" ht="12.75">
      <c r="A15" s="96"/>
      <c r="B15" s="2" t="s">
        <v>93</v>
      </c>
      <c r="C15" s="3">
        <f>B7/12</f>
        <v>0.0035</v>
      </c>
    </row>
    <row r="16" spans="2:3" ht="12.75">
      <c r="B16" s="2" t="s">
        <v>94</v>
      </c>
      <c r="C16" s="2">
        <f>B8*12</f>
        <v>36</v>
      </c>
    </row>
    <row r="17" ht="12.75">
      <c r="D17" s="16"/>
    </row>
    <row r="18" spans="2:6" ht="12.75">
      <c r="B18" s="1" t="s">
        <v>154</v>
      </c>
      <c r="C18" s="67"/>
      <c r="D18" s="67"/>
      <c r="E18" s="67"/>
      <c r="F18" s="67"/>
    </row>
    <row r="19" spans="2:6" ht="38.25">
      <c r="B19" s="86" t="s">
        <v>155</v>
      </c>
      <c r="C19" s="87" t="s">
        <v>158</v>
      </c>
      <c r="D19" s="86" t="s">
        <v>156</v>
      </c>
      <c r="E19" s="86" t="s">
        <v>157</v>
      </c>
      <c r="F19" s="86" t="s">
        <v>169</v>
      </c>
    </row>
    <row r="20" spans="2:6" ht="12.75">
      <c r="B20" s="88">
        <v>1</v>
      </c>
      <c r="C20" s="89">
        <v>100000</v>
      </c>
      <c r="D20" s="89">
        <v>400</v>
      </c>
      <c r="E20" s="89">
        <v>1201.232503666864</v>
      </c>
      <c r="F20" s="89">
        <v>1601.232503666864</v>
      </c>
    </row>
    <row r="21" spans="2:6" ht="12.75">
      <c r="B21" s="90" t="s">
        <v>167</v>
      </c>
      <c r="C21" s="90" t="s">
        <v>167</v>
      </c>
      <c r="D21" s="90" t="s">
        <v>167</v>
      </c>
      <c r="E21" s="90" t="s">
        <v>167</v>
      </c>
      <c r="F21" s="90" t="s">
        <v>167</v>
      </c>
    </row>
    <row r="22" spans="2:6" ht="13.5" thickBot="1">
      <c r="B22" s="92">
        <v>36</v>
      </c>
      <c r="C22" s="93">
        <v>54968.00870745821</v>
      </c>
      <c r="D22" s="93">
        <v>219.87203482983196</v>
      </c>
      <c r="E22" s="93">
        <v>1381.360468837032</v>
      </c>
      <c r="F22" s="93">
        <f>F20+C11*C23</f>
        <v>1869.16574485997</v>
      </c>
    </row>
    <row r="23" spans="2:6" ht="13.5" thickTop="1">
      <c r="B23" s="90">
        <v>37</v>
      </c>
      <c r="C23" s="19">
        <f>(C22-E22)</f>
        <v>53586.64823862118</v>
      </c>
      <c r="D23" s="91">
        <f aca="true" t="shared" si="0" ref="D23:D58">IPMT($C$15,$B23-$C$16,$C$16,-$C$23)</f>
        <v>187.55326883517412</v>
      </c>
      <c r="E23" s="91">
        <f aca="true" t="shared" si="1" ref="E23:E58">PPMT($C$15,$B23-$C$16,$C$16,-$C$23)</f>
        <v>1399.3101147390805</v>
      </c>
      <c r="F23" s="91">
        <f>D23+E23</f>
        <v>1586.8633835742546</v>
      </c>
    </row>
    <row r="24" spans="2:6" ht="12.75">
      <c r="B24" s="90">
        <v>38</v>
      </c>
      <c r="C24" s="91">
        <f>C23-E23</f>
        <v>52187.3381238821</v>
      </c>
      <c r="D24" s="91">
        <f t="shared" si="0"/>
        <v>182.65568343358726</v>
      </c>
      <c r="E24" s="91">
        <f t="shared" si="1"/>
        <v>1404.2077001406674</v>
      </c>
      <c r="F24" s="91">
        <f>D24+E24</f>
        <v>1586.8633835742546</v>
      </c>
    </row>
    <row r="25" spans="2:6" ht="12.75">
      <c r="B25" s="90">
        <v>39</v>
      </c>
      <c r="C25" s="91">
        <f aca="true" t="shared" si="2" ref="C25:C58">C24-E24</f>
        <v>50783.13042374144</v>
      </c>
      <c r="D25" s="91">
        <f t="shared" si="0"/>
        <v>177.74095648309495</v>
      </c>
      <c r="E25" s="91">
        <f t="shared" si="1"/>
        <v>1409.1224270911596</v>
      </c>
      <c r="F25" s="91">
        <f aca="true" t="shared" si="3" ref="F25:F58">D25+E25</f>
        <v>1586.8633835742546</v>
      </c>
    </row>
    <row r="26" spans="2:6" ht="12.75">
      <c r="B26" s="90">
        <v>40</v>
      </c>
      <c r="C26" s="91">
        <f t="shared" si="2"/>
        <v>49374.007996650274</v>
      </c>
      <c r="D26" s="91">
        <f t="shared" si="0"/>
        <v>172.8090279882757</v>
      </c>
      <c r="E26" s="91">
        <f t="shared" si="1"/>
        <v>1414.054355585979</v>
      </c>
      <c r="F26" s="91">
        <f t="shared" si="3"/>
        <v>1586.8633835742546</v>
      </c>
    </row>
    <row r="27" spans="2:6" ht="12.75">
      <c r="B27" s="9">
        <v>41</v>
      </c>
      <c r="C27" s="10">
        <f t="shared" si="2"/>
        <v>47959.9536410643</v>
      </c>
      <c r="D27" s="10">
        <f t="shared" si="0"/>
        <v>167.85983774372477</v>
      </c>
      <c r="E27" s="10">
        <f t="shared" si="1"/>
        <v>1419.00354583053</v>
      </c>
      <c r="F27" s="10">
        <f t="shared" si="3"/>
        <v>1586.8633835742546</v>
      </c>
    </row>
    <row r="28" spans="2:6" ht="12.75">
      <c r="B28" s="9">
        <v>42</v>
      </c>
      <c r="C28" s="10">
        <f t="shared" si="2"/>
        <v>46540.95009523377</v>
      </c>
      <c r="D28" s="10">
        <f t="shared" si="0"/>
        <v>162.89332533331793</v>
      </c>
      <c r="E28" s="10">
        <f t="shared" si="1"/>
        <v>1423.9700582409366</v>
      </c>
      <c r="F28" s="10">
        <f t="shared" si="3"/>
        <v>1586.8633835742546</v>
      </c>
    </row>
    <row r="29" spans="2:6" ht="12.75">
      <c r="B29" s="9">
        <v>43</v>
      </c>
      <c r="C29" s="10">
        <f t="shared" si="2"/>
        <v>45116.980036992834</v>
      </c>
      <c r="D29" s="10">
        <f t="shared" si="0"/>
        <v>157.9094301294746</v>
      </c>
      <c r="E29" s="10">
        <f t="shared" si="1"/>
        <v>1428.95395344478</v>
      </c>
      <c r="F29" s="10">
        <f t="shared" si="3"/>
        <v>1586.8633835742546</v>
      </c>
    </row>
    <row r="30" spans="2:6" ht="12.75">
      <c r="B30" s="9">
        <v>44</v>
      </c>
      <c r="C30" s="10">
        <f t="shared" si="2"/>
        <v>43688.02608354805</v>
      </c>
      <c r="D30" s="10">
        <f t="shared" si="0"/>
        <v>152.90809129241774</v>
      </c>
      <c r="E30" s="10">
        <f t="shared" si="1"/>
        <v>1433.9552922818368</v>
      </c>
      <c r="F30" s="10">
        <f t="shared" si="3"/>
        <v>1586.8633835742546</v>
      </c>
    </row>
    <row r="31" spans="2:6" ht="12.75">
      <c r="B31" s="9">
        <v>45</v>
      </c>
      <c r="C31" s="10">
        <f t="shared" si="2"/>
        <v>42254.07079126621</v>
      </c>
      <c r="D31" s="10">
        <f t="shared" si="0"/>
        <v>147.88924776943134</v>
      </c>
      <c r="E31" s="10">
        <f t="shared" si="1"/>
        <v>1438.9741358048232</v>
      </c>
      <c r="F31" s="10">
        <f t="shared" si="3"/>
        <v>1586.8633835742544</v>
      </c>
    </row>
    <row r="32" spans="2:6" ht="12.75">
      <c r="B32" s="9">
        <v>46</v>
      </c>
      <c r="C32" s="10">
        <f t="shared" si="2"/>
        <v>40815.096655461384</v>
      </c>
      <c r="D32" s="10">
        <f t="shared" si="0"/>
        <v>142.85283829411438</v>
      </c>
      <c r="E32" s="10">
        <f t="shared" si="1"/>
        <v>1444.0105452801401</v>
      </c>
      <c r="F32" s="10">
        <f t="shared" si="3"/>
        <v>1586.8633835742546</v>
      </c>
    </row>
    <row r="33" spans="2:6" ht="12.75">
      <c r="B33" s="9">
        <v>47</v>
      </c>
      <c r="C33" s="10">
        <f t="shared" si="2"/>
        <v>39371.08611018124</v>
      </c>
      <c r="D33" s="10">
        <f t="shared" si="0"/>
        <v>137.79880138563396</v>
      </c>
      <c r="E33" s="10">
        <f t="shared" si="1"/>
        <v>1449.0645821886205</v>
      </c>
      <c r="F33" s="10">
        <f t="shared" si="3"/>
        <v>1586.8633835742544</v>
      </c>
    </row>
    <row r="34" spans="2:6" ht="12.75">
      <c r="B34" s="9">
        <v>48</v>
      </c>
      <c r="C34" s="10">
        <f t="shared" si="2"/>
        <v>37922.02152799262</v>
      </c>
      <c r="D34" s="10">
        <f t="shared" si="0"/>
        <v>132.7270753479735</v>
      </c>
      <c r="E34" s="10">
        <f t="shared" si="1"/>
        <v>1454.136308226281</v>
      </c>
      <c r="F34" s="10">
        <f t="shared" si="3"/>
        <v>1586.8633835742546</v>
      </c>
    </row>
    <row r="35" spans="2:6" ht="12.75">
      <c r="B35" s="9">
        <v>49</v>
      </c>
      <c r="C35" s="10">
        <f t="shared" si="2"/>
        <v>36467.88521976634</v>
      </c>
      <c r="D35" s="10">
        <f t="shared" si="0"/>
        <v>127.63759826918162</v>
      </c>
      <c r="E35" s="10">
        <f t="shared" si="1"/>
        <v>1459.225785305073</v>
      </c>
      <c r="F35" s="10">
        <f t="shared" si="3"/>
        <v>1586.8633835742546</v>
      </c>
    </row>
    <row r="36" spans="2:6" ht="12.75">
      <c r="B36" s="9">
        <v>50</v>
      </c>
      <c r="C36" s="10">
        <f t="shared" si="2"/>
        <v>35008.65943446126</v>
      </c>
      <c r="D36" s="10">
        <f t="shared" si="0"/>
        <v>122.53030802061393</v>
      </c>
      <c r="E36" s="10">
        <f t="shared" si="1"/>
        <v>1464.3330755536406</v>
      </c>
      <c r="F36" s="10">
        <f t="shared" si="3"/>
        <v>1586.8633835742546</v>
      </c>
    </row>
    <row r="37" spans="2:6" ht="12.75">
      <c r="B37" s="9">
        <v>51</v>
      </c>
      <c r="C37" s="10">
        <f t="shared" si="2"/>
        <v>33544.32635890762</v>
      </c>
      <c r="D37" s="10">
        <f t="shared" si="0"/>
        <v>117.40514225617589</v>
      </c>
      <c r="E37" s="10">
        <f t="shared" si="1"/>
        <v>1469.4582413180788</v>
      </c>
      <c r="F37" s="10">
        <f t="shared" si="3"/>
        <v>1586.8633835742546</v>
      </c>
    </row>
    <row r="38" spans="2:6" ht="12.75">
      <c r="B38" s="9">
        <v>52</v>
      </c>
      <c r="C38" s="10">
        <f t="shared" si="2"/>
        <v>32074.868117589544</v>
      </c>
      <c r="D38" s="10">
        <f t="shared" si="0"/>
        <v>112.26203841156243</v>
      </c>
      <c r="E38" s="10">
        <f t="shared" si="1"/>
        <v>1474.6013451626923</v>
      </c>
      <c r="F38" s="10">
        <f t="shared" si="3"/>
        <v>1586.8633835742546</v>
      </c>
    </row>
    <row r="39" spans="2:6" ht="12.75">
      <c r="B39" s="9">
        <v>53</v>
      </c>
      <c r="C39" s="10">
        <f t="shared" si="2"/>
        <v>30600.26677242685</v>
      </c>
      <c r="D39" s="10">
        <f t="shared" si="0"/>
        <v>107.10093370349333</v>
      </c>
      <c r="E39" s="10">
        <f t="shared" si="1"/>
        <v>1479.7624498707612</v>
      </c>
      <c r="F39" s="10">
        <f t="shared" si="3"/>
        <v>1586.8633835742546</v>
      </c>
    </row>
    <row r="40" spans="2:6" ht="12.75">
      <c r="B40" s="9">
        <v>54</v>
      </c>
      <c r="C40" s="10">
        <f t="shared" si="2"/>
        <v>29120.504322556088</v>
      </c>
      <c r="D40" s="10">
        <f t="shared" si="0"/>
        <v>101.92176512894547</v>
      </c>
      <c r="E40" s="10">
        <f t="shared" si="1"/>
        <v>1484.9416184453091</v>
      </c>
      <c r="F40" s="10">
        <f t="shared" si="3"/>
        <v>1586.8633835742546</v>
      </c>
    </row>
    <row r="41" spans="2:6" ht="12.75">
      <c r="B41" s="9">
        <v>55</v>
      </c>
      <c r="C41" s="10">
        <f t="shared" si="2"/>
        <v>27635.56270411078</v>
      </c>
      <c r="D41" s="10">
        <f t="shared" si="0"/>
        <v>96.72446946438691</v>
      </c>
      <c r="E41" s="10">
        <f t="shared" si="1"/>
        <v>1490.1389141098678</v>
      </c>
      <c r="F41" s="10">
        <f t="shared" si="3"/>
        <v>1586.8633835742546</v>
      </c>
    </row>
    <row r="42" spans="2:6" ht="12.75">
      <c r="B42" s="9">
        <v>56</v>
      </c>
      <c r="C42" s="10">
        <f t="shared" si="2"/>
        <v>26145.423790000914</v>
      </c>
      <c r="D42" s="10">
        <f t="shared" si="0"/>
        <v>91.50898326500236</v>
      </c>
      <c r="E42" s="10">
        <f t="shared" si="1"/>
        <v>1495.3544003092522</v>
      </c>
      <c r="F42" s="10">
        <f t="shared" si="3"/>
        <v>1586.8633835742546</v>
      </c>
    </row>
    <row r="43" spans="2:6" ht="12.75">
      <c r="B43" s="9">
        <v>57</v>
      </c>
      <c r="C43" s="10">
        <f t="shared" si="2"/>
        <v>24650.06938969166</v>
      </c>
      <c r="D43" s="10">
        <f t="shared" si="0"/>
        <v>86.27524286391998</v>
      </c>
      <c r="E43" s="10">
        <f t="shared" si="1"/>
        <v>1500.5881407103345</v>
      </c>
      <c r="F43" s="10">
        <f t="shared" si="3"/>
        <v>1586.8633835742546</v>
      </c>
    </row>
    <row r="44" spans="2:6" ht="12.75">
      <c r="B44" s="9">
        <v>58</v>
      </c>
      <c r="C44" s="10">
        <f t="shared" si="2"/>
        <v>23149.481248981327</v>
      </c>
      <c r="D44" s="10">
        <f t="shared" si="0"/>
        <v>81.02318437143386</v>
      </c>
      <c r="E44" s="10">
        <f t="shared" si="1"/>
        <v>1505.8401992028207</v>
      </c>
      <c r="F44" s="10">
        <f t="shared" si="3"/>
        <v>1586.8633835742546</v>
      </c>
    </row>
    <row r="45" spans="2:6" ht="12.75">
      <c r="B45" s="9">
        <v>59</v>
      </c>
      <c r="C45" s="10">
        <f t="shared" si="2"/>
        <v>21643.641049778507</v>
      </c>
      <c r="D45" s="10">
        <f t="shared" si="0"/>
        <v>75.7527436742237</v>
      </c>
      <c r="E45" s="10">
        <f t="shared" si="1"/>
        <v>1511.110639900031</v>
      </c>
      <c r="F45" s="10">
        <f t="shared" si="3"/>
        <v>1586.8633835742546</v>
      </c>
    </row>
    <row r="46" spans="2:6" ht="12.75">
      <c r="B46" s="9">
        <v>60</v>
      </c>
      <c r="C46" s="10">
        <f t="shared" si="2"/>
        <v>20132.530409878476</v>
      </c>
      <c r="D46" s="10">
        <f t="shared" si="0"/>
        <v>70.46385643457342</v>
      </c>
      <c r="E46" s="10">
        <f t="shared" si="1"/>
        <v>1516.3995271396811</v>
      </c>
      <c r="F46" s="10">
        <f t="shared" si="3"/>
        <v>1586.8633835742546</v>
      </c>
    </row>
    <row r="47" spans="2:6" ht="12.75">
      <c r="B47" s="9">
        <v>61</v>
      </c>
      <c r="C47" s="10">
        <f t="shared" si="2"/>
        <v>18616.130882738795</v>
      </c>
      <c r="D47" s="10">
        <f t="shared" si="0"/>
        <v>65.15645808958473</v>
      </c>
      <c r="E47" s="10">
        <f t="shared" si="1"/>
        <v>1521.70692548467</v>
      </c>
      <c r="F47" s="10">
        <f t="shared" si="3"/>
        <v>1586.8633835742546</v>
      </c>
    </row>
    <row r="48" spans="2:6" ht="12.75">
      <c r="B48" s="9">
        <v>62</v>
      </c>
      <c r="C48" s="10">
        <f t="shared" si="2"/>
        <v>17094.423957254126</v>
      </c>
      <c r="D48" s="10">
        <f t="shared" si="0"/>
        <v>59.83048385038835</v>
      </c>
      <c r="E48" s="10">
        <f t="shared" si="1"/>
        <v>1527.0328997238662</v>
      </c>
      <c r="F48" s="10">
        <f t="shared" si="3"/>
        <v>1586.8633835742546</v>
      </c>
    </row>
    <row r="49" spans="2:6" ht="12.75">
      <c r="B49" s="9">
        <v>63</v>
      </c>
      <c r="C49" s="10">
        <f t="shared" si="2"/>
        <v>15567.39105753026</v>
      </c>
      <c r="D49" s="10">
        <f t="shared" si="0"/>
        <v>54.48586870135491</v>
      </c>
      <c r="E49" s="10">
        <f t="shared" si="1"/>
        <v>1532.3775148728996</v>
      </c>
      <c r="F49" s="10">
        <f t="shared" si="3"/>
        <v>1586.8633835742546</v>
      </c>
    </row>
    <row r="50" spans="2:6" ht="12.75">
      <c r="B50" s="9">
        <v>64</v>
      </c>
      <c r="C50" s="10">
        <f t="shared" si="2"/>
        <v>14035.01354265736</v>
      </c>
      <c r="D50" s="10">
        <f t="shared" si="0"/>
        <v>49.122547399299414</v>
      </c>
      <c r="E50" s="10">
        <f t="shared" si="1"/>
        <v>1537.7408361749551</v>
      </c>
      <c r="F50" s="10">
        <f t="shared" si="3"/>
        <v>1586.8633835742546</v>
      </c>
    </row>
    <row r="51" spans="2:6" ht="12.75">
      <c r="B51" s="9">
        <v>65</v>
      </c>
      <c r="C51" s="10">
        <f t="shared" si="2"/>
        <v>12497.272706482405</v>
      </c>
      <c r="D51" s="10">
        <f t="shared" si="0"/>
        <v>43.740454472687</v>
      </c>
      <c r="E51" s="10">
        <f t="shared" si="1"/>
        <v>1543.1229291015677</v>
      </c>
      <c r="F51" s="10">
        <f t="shared" si="3"/>
        <v>1586.8633835742546</v>
      </c>
    </row>
    <row r="52" spans="2:6" ht="12.75">
      <c r="B52" s="9">
        <v>66</v>
      </c>
      <c r="C52" s="10">
        <f t="shared" si="2"/>
        <v>10954.149777380837</v>
      </c>
      <c r="D52" s="10">
        <f t="shared" si="0"/>
        <v>38.339524220831635</v>
      </c>
      <c r="E52" s="10">
        <f t="shared" si="1"/>
        <v>1548.523859353423</v>
      </c>
      <c r="F52" s="10">
        <f t="shared" si="3"/>
        <v>1586.8633835742546</v>
      </c>
    </row>
    <row r="53" spans="2:6" ht="12.75">
      <c r="B53" s="9">
        <v>67</v>
      </c>
      <c r="C53" s="10">
        <f t="shared" si="2"/>
        <v>9405.625918027414</v>
      </c>
      <c r="D53" s="10">
        <f t="shared" si="0"/>
        <v>32.91969071309437</v>
      </c>
      <c r="E53" s="10">
        <f t="shared" si="1"/>
        <v>1553.9436928611603</v>
      </c>
      <c r="F53" s="10">
        <f t="shared" si="3"/>
        <v>1586.8633835742546</v>
      </c>
    </row>
    <row r="54" spans="2:6" ht="12.75">
      <c r="B54" s="9">
        <v>68</v>
      </c>
      <c r="C54" s="10">
        <f t="shared" si="2"/>
        <v>7851.682225166253</v>
      </c>
      <c r="D54" s="10">
        <f t="shared" si="0"/>
        <v>27.48088778808005</v>
      </c>
      <c r="E54" s="10">
        <f t="shared" si="1"/>
        <v>1559.3824957861746</v>
      </c>
      <c r="F54" s="10">
        <f t="shared" si="3"/>
        <v>1586.8633835742546</v>
      </c>
    </row>
    <row r="55" spans="2:6" ht="12.75">
      <c r="B55" s="9">
        <v>69</v>
      </c>
      <c r="C55" s="10">
        <f t="shared" si="2"/>
        <v>6292.299729380079</v>
      </c>
      <c r="D55" s="10">
        <f t="shared" si="0"/>
        <v>22.02304905282873</v>
      </c>
      <c r="E55" s="10">
        <f t="shared" si="1"/>
        <v>1564.8403345214258</v>
      </c>
      <c r="F55" s="10">
        <f t="shared" si="3"/>
        <v>1586.8633835742546</v>
      </c>
    </row>
    <row r="56" spans="2:6" ht="12.75">
      <c r="B56" s="90">
        <v>70</v>
      </c>
      <c r="C56" s="91">
        <f t="shared" si="2"/>
        <v>4727.4593948586535</v>
      </c>
      <c r="D56" s="91">
        <f t="shared" si="0"/>
        <v>16.546107882003742</v>
      </c>
      <c r="E56" s="91">
        <f t="shared" si="1"/>
        <v>1570.3172756922509</v>
      </c>
      <c r="F56" s="91">
        <f t="shared" si="3"/>
        <v>1586.8633835742546</v>
      </c>
    </row>
    <row r="57" spans="2:6" ht="12.75">
      <c r="B57" s="90">
        <v>71</v>
      </c>
      <c r="C57" s="91">
        <f t="shared" si="2"/>
        <v>3157.1421191664026</v>
      </c>
      <c r="D57" s="91">
        <f t="shared" si="0"/>
        <v>11.04999741708089</v>
      </c>
      <c r="E57" s="91">
        <f t="shared" si="1"/>
        <v>1575.8133861571737</v>
      </c>
      <c r="F57" s="91">
        <f t="shared" si="3"/>
        <v>1586.8633835742546</v>
      </c>
    </row>
    <row r="58" spans="2:6" ht="12.75">
      <c r="B58" s="100">
        <v>72</v>
      </c>
      <c r="C58" s="101">
        <f t="shared" si="2"/>
        <v>1581.328733009229</v>
      </c>
      <c r="D58" s="101">
        <f t="shared" si="0"/>
        <v>5.534650565530464</v>
      </c>
      <c r="E58" s="101">
        <f t="shared" si="1"/>
        <v>1581.3287330087242</v>
      </c>
      <c r="F58" s="101">
        <f t="shared" si="3"/>
        <v>1586.8633835742546</v>
      </c>
    </row>
  </sheetData>
  <dataValidations count="1">
    <dataValidation type="list" allowBlank="1" showInputMessage="1" showErrorMessage="1" sqref="C11">
      <formula1>"0,0,5%"</formula1>
    </dataValidation>
  </dataValidations>
  <printOptions/>
  <pageMargins left="0.75" right="0.75" top="1" bottom="1" header="0.4921259845" footer="0.492125984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H83"/>
  <sheetViews>
    <sheetView workbookViewId="0" topLeftCell="A1">
      <selection activeCell="H82" sqref="H82"/>
    </sheetView>
  </sheetViews>
  <sheetFormatPr defaultColWidth="11.00390625" defaultRowHeight="12.75"/>
  <cols>
    <col min="1" max="1" width="11.625" style="0" customWidth="1"/>
    <col min="4" max="4" width="11.375" style="0" customWidth="1"/>
  </cols>
  <sheetData>
    <row r="1" ht="12.75">
      <c r="A1" s="1" t="s">
        <v>58</v>
      </c>
    </row>
    <row r="3" spans="1:2" ht="12.75">
      <c r="A3" s="2" t="s">
        <v>148</v>
      </c>
      <c r="B3" s="6">
        <v>50000</v>
      </c>
    </row>
    <row r="4" spans="1:5" ht="13.5" thickBot="1">
      <c r="A4" s="22" t="s">
        <v>170</v>
      </c>
      <c r="B4" s="26">
        <v>6</v>
      </c>
      <c r="D4" s="22" t="s">
        <v>98</v>
      </c>
      <c r="E4" s="26">
        <f>B4*4</f>
        <v>24</v>
      </c>
    </row>
    <row r="5" spans="1:5" ht="13.5" thickTop="1">
      <c r="A5" s="20" t="s">
        <v>162</v>
      </c>
      <c r="B5" s="27">
        <f>(1+E5)^4-1</f>
        <v>0.040604010000000024</v>
      </c>
      <c r="D5" s="2" t="s">
        <v>171</v>
      </c>
      <c r="E5" s="28">
        <v>0.01</v>
      </c>
    </row>
    <row r="6" spans="1:5" ht="13.5" thickBot="1">
      <c r="A6" s="22" t="s">
        <v>165</v>
      </c>
      <c r="B6" s="22">
        <v>2</v>
      </c>
      <c r="D6" s="22" t="s">
        <v>172</v>
      </c>
      <c r="E6" s="22">
        <f>B6*4</f>
        <v>8</v>
      </c>
    </row>
    <row r="7" spans="1:5" ht="13.5" thickTop="1">
      <c r="A7" s="20" t="s">
        <v>163</v>
      </c>
      <c r="B7" s="27">
        <f>(1+E7)^4-1</f>
        <v>0.04887093273599996</v>
      </c>
      <c r="D7" s="31" t="s">
        <v>171</v>
      </c>
      <c r="E7" s="32">
        <v>0.012</v>
      </c>
    </row>
    <row r="8" spans="1:5" ht="12.75">
      <c r="A8" s="2" t="s">
        <v>166</v>
      </c>
      <c r="B8" s="25">
        <f>B4-B6</f>
        <v>4</v>
      </c>
      <c r="D8" s="2" t="s">
        <v>173</v>
      </c>
      <c r="E8" s="2">
        <f>B8*4</f>
        <v>16</v>
      </c>
    </row>
    <row r="11" ht="12.75">
      <c r="H11" s="34"/>
    </row>
    <row r="17" ht="12.75">
      <c r="B17" s="1" t="s">
        <v>154</v>
      </c>
    </row>
    <row r="18" spans="2:6" ht="38.25">
      <c r="B18" s="4" t="s">
        <v>155</v>
      </c>
      <c r="C18" s="33" t="s">
        <v>158</v>
      </c>
      <c r="D18" s="4" t="s">
        <v>156</v>
      </c>
      <c r="E18" s="4" t="s">
        <v>157</v>
      </c>
      <c r="F18" s="4" t="s">
        <v>168</v>
      </c>
    </row>
    <row r="19" spans="1:6" ht="12.75">
      <c r="A19" s="205" t="s">
        <v>53</v>
      </c>
      <c r="B19" s="7">
        <v>1</v>
      </c>
      <c r="C19" s="8">
        <f>B3</f>
        <v>50000</v>
      </c>
      <c r="D19" s="8">
        <f aca="true" t="shared" si="0" ref="D19:D26">C19*E$5</f>
        <v>500</v>
      </c>
      <c r="E19" s="8">
        <v>0</v>
      </c>
      <c r="F19" s="8">
        <f>D19+E19</f>
        <v>500</v>
      </c>
    </row>
    <row r="20" spans="1:6" ht="12.75">
      <c r="A20" s="206"/>
      <c r="B20" s="9">
        <v>2</v>
      </c>
      <c r="C20" s="10">
        <f aca="true" t="shared" si="1" ref="C20:C28">C19-E19</f>
        <v>50000</v>
      </c>
      <c r="D20" s="10">
        <f t="shared" si="0"/>
        <v>500</v>
      </c>
      <c r="E20" s="10">
        <f>E19</f>
        <v>0</v>
      </c>
      <c r="F20" s="10">
        <f>D20+E20</f>
        <v>500</v>
      </c>
    </row>
    <row r="21" spans="1:6" ht="12.75">
      <c r="A21" s="206"/>
      <c r="B21" s="9">
        <v>3</v>
      </c>
      <c r="C21" s="10">
        <f t="shared" si="1"/>
        <v>50000</v>
      </c>
      <c r="D21" s="10">
        <f t="shared" si="0"/>
        <v>500</v>
      </c>
      <c r="E21" s="10">
        <f>E20</f>
        <v>0</v>
      </c>
      <c r="F21" s="10">
        <f>D21+E21</f>
        <v>500</v>
      </c>
    </row>
    <row r="22" spans="1:6" ht="13.5" thickBot="1">
      <c r="A22" s="207"/>
      <c r="B22" s="23">
        <v>4</v>
      </c>
      <c r="C22" s="24">
        <f t="shared" si="1"/>
        <v>50000</v>
      </c>
      <c r="D22" s="24">
        <f t="shared" si="0"/>
        <v>500</v>
      </c>
      <c r="E22" s="24">
        <f>E21</f>
        <v>0</v>
      </c>
      <c r="F22" s="24">
        <f>D22+E22</f>
        <v>500</v>
      </c>
    </row>
    <row r="23" spans="1:6" ht="13.5" thickTop="1">
      <c r="A23" s="205" t="s">
        <v>54</v>
      </c>
      <c r="B23" s="9">
        <v>5</v>
      </c>
      <c r="C23" s="10">
        <f t="shared" si="1"/>
        <v>50000</v>
      </c>
      <c r="D23" s="10">
        <f t="shared" si="0"/>
        <v>500</v>
      </c>
      <c r="E23" s="10">
        <f>F23-D23</f>
        <v>-500</v>
      </c>
      <c r="F23" s="10">
        <v>0</v>
      </c>
    </row>
    <row r="24" spans="1:6" ht="12.75">
      <c r="A24" s="206"/>
      <c r="B24" s="9">
        <v>6</v>
      </c>
      <c r="C24" s="10">
        <f t="shared" si="1"/>
        <v>50500</v>
      </c>
      <c r="D24" s="10">
        <f t="shared" si="0"/>
        <v>505</v>
      </c>
      <c r="E24" s="10">
        <f>F24-D24</f>
        <v>-505</v>
      </c>
      <c r="F24" s="10">
        <f>F23</f>
        <v>0</v>
      </c>
    </row>
    <row r="25" spans="1:6" ht="12.75">
      <c r="A25" s="206"/>
      <c r="B25" s="9">
        <v>7</v>
      </c>
      <c r="C25" s="10">
        <f t="shared" si="1"/>
        <v>51005</v>
      </c>
      <c r="D25" s="10">
        <f t="shared" si="0"/>
        <v>510.05</v>
      </c>
      <c r="E25" s="10">
        <f>F25-D25</f>
        <v>-510.05</v>
      </c>
      <c r="F25" s="10">
        <f>F24</f>
        <v>0</v>
      </c>
    </row>
    <row r="26" spans="1:6" ht="13.5" thickBot="1">
      <c r="A26" s="206"/>
      <c r="B26" s="23">
        <v>8</v>
      </c>
      <c r="C26" s="24">
        <f t="shared" si="1"/>
        <v>51515.05</v>
      </c>
      <c r="D26" s="24">
        <f t="shared" si="0"/>
        <v>515.1505000000001</v>
      </c>
      <c r="E26" s="24">
        <f>F26-D26</f>
        <v>-515.1505000000001</v>
      </c>
      <c r="F26" s="24">
        <f>F25</f>
        <v>0</v>
      </c>
    </row>
    <row r="27" spans="1:6" ht="13.5" thickTop="1">
      <c r="A27" s="208" t="s">
        <v>51</v>
      </c>
      <c r="B27" s="40">
        <v>9</v>
      </c>
      <c r="C27" s="41">
        <f t="shared" si="1"/>
        <v>52030.200500000006</v>
      </c>
      <c r="D27" s="10">
        <f>IPMT($E$7,$B27-$E$6,$E$8,-$C$27)</f>
        <v>624.3624060000001</v>
      </c>
      <c r="E27" s="10">
        <f>PPMT($E$7,$B27-$E$6,$E$8,-$C$27)</f>
        <v>2969.103174543308</v>
      </c>
      <c r="F27" s="43">
        <f>D27+E27</f>
        <v>3593.465580543308</v>
      </c>
    </row>
    <row r="28" spans="1:6" ht="12.75">
      <c r="A28" s="209"/>
      <c r="B28" s="36">
        <v>10</v>
      </c>
      <c r="C28" s="42">
        <f t="shared" si="1"/>
        <v>49061.0973254567</v>
      </c>
      <c r="D28" s="10">
        <f>IPMT($E$7,$B28-$E$6,$E$8,-$C$27)</f>
        <v>588.7331679054803</v>
      </c>
      <c r="E28" s="10">
        <f>PPMT($E$7,$B28-$E$6,$E$8,-$C$27)</f>
        <v>3004.732412637828</v>
      </c>
      <c r="F28" s="10">
        <f>D28+E28</f>
        <v>3593.4655805433085</v>
      </c>
    </row>
    <row r="29" spans="1:6" ht="12.75">
      <c r="A29" s="209"/>
      <c r="B29" s="36">
        <v>11</v>
      </c>
      <c r="C29" s="42">
        <f aca="true" t="shared" si="2" ref="C29:C42">C28-E28</f>
        <v>46056.36491281887</v>
      </c>
      <c r="D29" s="10">
        <f aca="true" t="shared" si="3" ref="D29:D42">IPMT($E$7,$B29-$E$6,$E$8,-$C$27)</f>
        <v>552.6763789538267</v>
      </c>
      <c r="E29" s="10">
        <f aca="true" t="shared" si="4" ref="E29:E42">PPMT($E$7,$B29-$E$6,$E$8,-$C$27)</f>
        <v>3040.7892015894813</v>
      </c>
      <c r="F29" s="10">
        <f aca="true" t="shared" si="5" ref="F29:F42">D29+E29</f>
        <v>3593.465580543308</v>
      </c>
    </row>
    <row r="30" spans="1:6" ht="12.75">
      <c r="A30" s="209"/>
      <c r="B30" s="36">
        <v>12</v>
      </c>
      <c r="C30" s="42">
        <f t="shared" si="2"/>
        <v>43015.57571122939</v>
      </c>
      <c r="D30" s="10">
        <f t="shared" si="3"/>
        <v>516.1869085347528</v>
      </c>
      <c r="E30" s="10">
        <f t="shared" si="4"/>
        <v>3077.278672008555</v>
      </c>
      <c r="F30" s="10">
        <f t="shared" si="5"/>
        <v>3593.4655805433076</v>
      </c>
    </row>
    <row r="31" spans="1:6" ht="12.75">
      <c r="A31" s="45" t="s">
        <v>55</v>
      </c>
      <c r="B31" s="9">
        <v>13</v>
      </c>
      <c r="C31" s="42">
        <f t="shared" si="2"/>
        <v>39938.29703922083</v>
      </c>
      <c r="D31" s="10">
        <f t="shared" si="3"/>
        <v>479.25956447065016</v>
      </c>
      <c r="E31" s="10">
        <f t="shared" si="4"/>
        <v>3114.206016072658</v>
      </c>
      <c r="F31" s="10">
        <f t="shared" si="5"/>
        <v>3593.465580543308</v>
      </c>
    </row>
    <row r="32" spans="1:6" ht="12.75">
      <c r="A32" s="37" t="s">
        <v>167</v>
      </c>
      <c r="B32" s="9">
        <v>14</v>
      </c>
      <c r="C32" s="42">
        <f t="shared" si="2"/>
        <v>36824.09102314817</v>
      </c>
      <c r="D32" s="10">
        <f t="shared" si="3"/>
        <v>441.8890922777783</v>
      </c>
      <c r="E32" s="10">
        <f t="shared" si="4"/>
        <v>3151.57648826553</v>
      </c>
      <c r="F32" s="10">
        <f t="shared" si="5"/>
        <v>3593.465580543308</v>
      </c>
    </row>
    <row r="33" spans="1:6" ht="12.75">
      <c r="A33" s="38" t="s">
        <v>52</v>
      </c>
      <c r="B33" s="9">
        <v>15</v>
      </c>
      <c r="C33" s="42">
        <f t="shared" si="2"/>
        <v>33672.51453488264</v>
      </c>
      <c r="D33" s="10">
        <f t="shared" si="3"/>
        <v>404.07017441859233</v>
      </c>
      <c r="E33" s="10">
        <f t="shared" si="4"/>
        <v>3189.395406124716</v>
      </c>
      <c r="F33" s="10">
        <f t="shared" si="5"/>
        <v>3593.465580543308</v>
      </c>
    </row>
    <row r="34" spans="1:6" ht="12.75">
      <c r="A34" s="37" t="s">
        <v>167</v>
      </c>
      <c r="B34" s="90">
        <v>16</v>
      </c>
      <c r="C34" s="42">
        <f t="shared" si="2"/>
        <v>30483.119128757924</v>
      </c>
      <c r="D34" s="10">
        <f t="shared" si="3"/>
        <v>365.79742954509504</v>
      </c>
      <c r="E34" s="10">
        <f t="shared" si="4"/>
        <v>3227.668150998213</v>
      </c>
      <c r="F34" s="10">
        <f t="shared" si="5"/>
        <v>3593.465580543308</v>
      </c>
    </row>
    <row r="35" spans="1:8" ht="12.75">
      <c r="A35" s="38" t="s">
        <v>52</v>
      </c>
      <c r="B35" s="47">
        <v>17</v>
      </c>
      <c r="C35" s="46">
        <f t="shared" si="2"/>
        <v>27255.450977759712</v>
      </c>
      <c r="D35" s="10">
        <f t="shared" si="3"/>
        <v>327.0654117331167</v>
      </c>
      <c r="E35" s="10">
        <f t="shared" si="4"/>
        <v>3266.400168810191</v>
      </c>
      <c r="F35" s="10">
        <f t="shared" si="5"/>
        <v>3593.465580543308</v>
      </c>
      <c r="H35" s="64"/>
    </row>
    <row r="36" spans="2:6" ht="12.75">
      <c r="B36" s="47">
        <v>18</v>
      </c>
      <c r="C36" s="46">
        <f t="shared" si="2"/>
        <v>23989.05080894952</v>
      </c>
      <c r="D36" s="10">
        <f t="shared" si="3"/>
        <v>287.86860970739457</v>
      </c>
      <c r="E36" s="10">
        <f t="shared" si="4"/>
        <v>3305.5969708359135</v>
      </c>
      <c r="F36" s="10">
        <f t="shared" si="5"/>
        <v>3593.465580543308</v>
      </c>
    </row>
    <row r="37" spans="1:6" ht="12.75">
      <c r="A37" s="37" t="s">
        <v>167</v>
      </c>
      <c r="B37" s="9">
        <v>19</v>
      </c>
      <c r="C37" s="42">
        <f t="shared" si="2"/>
        <v>20683.453838113608</v>
      </c>
      <c r="D37" s="10">
        <f t="shared" si="3"/>
        <v>248.20144605736357</v>
      </c>
      <c r="E37" s="10">
        <f t="shared" si="4"/>
        <v>3345.2641344859444</v>
      </c>
      <c r="F37" s="10">
        <f t="shared" si="5"/>
        <v>3593.465580543308</v>
      </c>
    </row>
    <row r="38" spans="1:6" ht="12.75">
      <c r="A38" s="38" t="s">
        <v>52</v>
      </c>
      <c r="B38" s="9">
        <v>20</v>
      </c>
      <c r="C38" s="42">
        <f t="shared" si="2"/>
        <v>17338.189703627664</v>
      </c>
      <c r="D38" s="10">
        <f t="shared" si="3"/>
        <v>208.05827644353232</v>
      </c>
      <c r="E38" s="10">
        <f t="shared" si="4"/>
        <v>3385.407304099776</v>
      </c>
      <c r="F38" s="10">
        <f t="shared" si="5"/>
        <v>3593.465580543308</v>
      </c>
    </row>
    <row r="39" spans="2:6" ht="12.75">
      <c r="B39" s="9">
        <v>21</v>
      </c>
      <c r="C39" s="42">
        <f t="shared" si="2"/>
        <v>13952.782399527889</v>
      </c>
      <c r="D39" s="10">
        <f t="shared" si="3"/>
        <v>167.4333887943352</v>
      </c>
      <c r="E39" s="10">
        <f t="shared" si="4"/>
        <v>3426.0321917489728</v>
      </c>
      <c r="F39" s="10">
        <f t="shared" si="5"/>
        <v>3593.465580543308</v>
      </c>
    </row>
    <row r="40" spans="1:6" ht="12.75">
      <c r="A40" s="37" t="s">
        <v>167</v>
      </c>
      <c r="B40" s="9">
        <v>22</v>
      </c>
      <c r="C40" s="42">
        <f t="shared" si="2"/>
        <v>10526.750207778916</v>
      </c>
      <c r="D40" s="10">
        <f t="shared" si="3"/>
        <v>126.32100249334762</v>
      </c>
      <c r="E40" s="10">
        <f t="shared" si="4"/>
        <v>3467.1445780499603</v>
      </c>
      <c r="F40" s="10">
        <f t="shared" si="5"/>
        <v>3593.465580543308</v>
      </c>
    </row>
    <row r="41" spans="1:6" ht="12.75">
      <c r="A41" s="38" t="s">
        <v>52</v>
      </c>
      <c r="B41" s="9">
        <v>23</v>
      </c>
      <c r="C41" s="42">
        <f t="shared" si="2"/>
        <v>7059.605629728956</v>
      </c>
      <c r="D41" s="10">
        <f t="shared" si="3"/>
        <v>84.71526755674824</v>
      </c>
      <c r="E41" s="10">
        <f t="shared" si="4"/>
        <v>3508.75031298656</v>
      </c>
      <c r="F41" s="10">
        <f t="shared" si="5"/>
        <v>3593.465580543308</v>
      </c>
    </row>
    <row r="42" spans="1:6" ht="12.75">
      <c r="A42" s="38" t="s">
        <v>52</v>
      </c>
      <c r="B42" s="11">
        <v>24</v>
      </c>
      <c r="C42" s="44">
        <f t="shared" si="2"/>
        <v>3550.855316742396</v>
      </c>
      <c r="D42" s="12">
        <f t="shared" si="3"/>
        <v>42.61026380090858</v>
      </c>
      <c r="E42" s="12">
        <f t="shared" si="4"/>
        <v>3550.8553167423993</v>
      </c>
      <c r="F42" s="12">
        <f t="shared" si="5"/>
        <v>3593.465580543308</v>
      </c>
    </row>
    <row r="74" ht="12.75">
      <c r="A74" s="63" t="s">
        <v>82</v>
      </c>
    </row>
    <row r="75" spans="1:3" ht="12.75">
      <c r="A75" s="103" t="s">
        <v>100</v>
      </c>
      <c r="B75" s="94"/>
      <c r="C75" s="94">
        <v>9</v>
      </c>
    </row>
    <row r="76" spans="1:3" ht="12.75">
      <c r="A76" s="20" t="s">
        <v>135</v>
      </c>
      <c r="B76" s="20"/>
      <c r="C76" s="48">
        <f>E7</f>
        <v>0.012</v>
      </c>
    </row>
    <row r="77" spans="1:3" ht="12.75">
      <c r="A77" s="14" t="s">
        <v>101</v>
      </c>
      <c r="B77" s="2"/>
      <c r="C77" s="6">
        <f>F27</f>
        <v>3593.465580543308</v>
      </c>
    </row>
    <row r="78" spans="1:3" ht="12.75">
      <c r="A78" s="2" t="s">
        <v>99</v>
      </c>
      <c r="B78" s="2"/>
      <c r="C78" s="6">
        <f>C27</f>
        <v>52030.200500000006</v>
      </c>
    </row>
    <row r="79" spans="1:3" ht="12.75">
      <c r="A79" s="14" t="s">
        <v>102</v>
      </c>
      <c r="B79" s="2"/>
      <c r="C79" s="6">
        <v>25000</v>
      </c>
    </row>
    <row r="82" ht="12.75">
      <c r="A82" t="s">
        <v>103</v>
      </c>
    </row>
    <row r="83" spans="1:4" ht="12.75">
      <c r="A83" s="63" t="s">
        <v>84</v>
      </c>
      <c r="C83" s="104">
        <f>C75+NPER(C76,-C77,C78,-C79)</f>
        <v>17.691773198148923</v>
      </c>
      <c r="D83" s="105" t="s">
        <v>104</v>
      </c>
    </row>
  </sheetData>
  <mergeCells count="3">
    <mergeCell ref="A19:A22"/>
    <mergeCell ref="A23:A26"/>
    <mergeCell ref="A27:A30"/>
  </mergeCells>
  <printOptions/>
  <pageMargins left="0.75" right="0.75" top="1" bottom="1" header="0.4921259845" footer="0.4921259845"/>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A1:J13"/>
  <sheetViews>
    <sheetView workbookViewId="0" topLeftCell="A1">
      <selection activeCell="J50" sqref="J50"/>
    </sheetView>
  </sheetViews>
  <sheetFormatPr defaultColWidth="11.00390625" defaultRowHeight="12.75"/>
  <cols>
    <col min="9" max="9" width="12.00390625" style="0" customWidth="1"/>
  </cols>
  <sheetData>
    <row r="1" ht="12.75">
      <c r="A1" s="1" t="s">
        <v>56</v>
      </c>
    </row>
    <row r="3" spans="1:7" ht="12.75">
      <c r="A3" s="2" t="s">
        <v>148</v>
      </c>
      <c r="B3" s="6">
        <v>100000</v>
      </c>
      <c r="F3" s="2" t="s">
        <v>148</v>
      </c>
      <c r="G3" s="6">
        <f>B3</f>
        <v>100000</v>
      </c>
    </row>
    <row r="4" spans="1:7" ht="12.75">
      <c r="A4" s="2" t="s">
        <v>149</v>
      </c>
      <c r="B4" s="49">
        <v>0.04</v>
      </c>
      <c r="F4" s="2" t="s">
        <v>149</v>
      </c>
      <c r="G4" s="49">
        <v>0.04</v>
      </c>
    </row>
    <row r="8" spans="2:10" ht="38.25">
      <c r="B8" s="51" t="s">
        <v>59</v>
      </c>
      <c r="C8" s="33" t="s">
        <v>62</v>
      </c>
      <c r="D8" s="33" t="s">
        <v>60</v>
      </c>
      <c r="E8" s="52" t="s">
        <v>61</v>
      </c>
      <c r="G8" s="106" t="s">
        <v>59</v>
      </c>
      <c r="H8" s="102" t="s">
        <v>62</v>
      </c>
      <c r="I8" s="107" t="s">
        <v>63</v>
      </c>
      <c r="J8" s="108" t="s">
        <v>105</v>
      </c>
    </row>
    <row r="9" spans="2:10" ht="12.75">
      <c r="B9" s="7">
        <v>10</v>
      </c>
      <c r="C9" s="54">
        <f>PMT(B$4,B9,-B$3)</f>
        <v>12329.09443301364</v>
      </c>
      <c r="D9" s="54">
        <f>PV(B$4,B9-5,-C9)</f>
        <v>54886.93791809778</v>
      </c>
      <c r="E9" s="55">
        <f>D9/B$3</f>
        <v>0.5488693791809778</v>
      </c>
      <c r="G9" s="75">
        <v>10</v>
      </c>
      <c r="H9" s="109">
        <f>PMT(G$4,G9,-G$3)</f>
        <v>12329.09443301364</v>
      </c>
      <c r="I9" s="110">
        <f>G9*H9-G$3</f>
        <v>23290.944330136408</v>
      </c>
      <c r="J9" s="111">
        <f>I9/G$3</f>
        <v>0.2329094433013641</v>
      </c>
    </row>
    <row r="10" spans="2:10" ht="12.75">
      <c r="B10" s="56">
        <v>15</v>
      </c>
      <c r="C10" s="57">
        <f>PMT(B$4,B10,-B$3)</f>
        <v>8994.110037097314</v>
      </c>
      <c r="D10" s="57">
        <f>PV(B$4,B10-5,-C10)</f>
        <v>72950.28913894737</v>
      </c>
      <c r="E10" s="58">
        <f>D10/B$3</f>
        <v>0.7295028913894737</v>
      </c>
      <c r="G10" s="112">
        <v>15</v>
      </c>
      <c r="H10" s="113">
        <f>PMT(G$4,G10,-G$3)</f>
        <v>8994.110037097314</v>
      </c>
      <c r="I10" s="114">
        <f>G10*H10-G$3</f>
        <v>34911.65055645973</v>
      </c>
      <c r="J10" s="115">
        <f>I10/G$3</f>
        <v>0.34911650556459733</v>
      </c>
    </row>
    <row r="11" spans="2:10" ht="12.75">
      <c r="B11" s="9">
        <v>20</v>
      </c>
      <c r="C11" s="57">
        <f>PMT(B$4,B11,-B$3)</f>
        <v>7358.175032862884</v>
      </c>
      <c r="D11" s="57">
        <f>PV(B$4,B11-5,-C11)</f>
        <v>81811.04080907602</v>
      </c>
      <c r="E11" s="58">
        <f>D11/B$3</f>
        <v>0.8181104080907602</v>
      </c>
      <c r="G11" s="76">
        <v>20</v>
      </c>
      <c r="H11" s="113">
        <f>PMT(G$4,G11,-G$3)</f>
        <v>7358.175032862884</v>
      </c>
      <c r="I11" s="114">
        <f>G11*H11-G$3</f>
        <v>47163.50065725768</v>
      </c>
      <c r="J11" s="115">
        <f>I11/G$3</f>
        <v>0.47163500657257684</v>
      </c>
    </row>
    <row r="12" spans="2:10" ht="12.75">
      <c r="B12" s="56">
        <v>25</v>
      </c>
      <c r="C12" s="57">
        <f>PMT(B$4,B12,-B$3)</f>
        <v>6401.196278645456</v>
      </c>
      <c r="D12" s="57">
        <f>PV(B$4,B12-5,-C12)</f>
        <v>86994.34642498453</v>
      </c>
      <c r="E12" s="58">
        <f>D12/B$3</f>
        <v>0.8699434642498453</v>
      </c>
      <c r="G12" s="112">
        <v>25</v>
      </c>
      <c r="H12" s="113">
        <f>PMT(G$4,G12,-G$3)</f>
        <v>6401.196278645456</v>
      </c>
      <c r="I12" s="114">
        <f>G12*H12-G$3</f>
        <v>60029.90696613639</v>
      </c>
      <c r="J12" s="115">
        <f>I12/G$3</f>
        <v>0.6002990696613639</v>
      </c>
    </row>
    <row r="13" spans="2:10" ht="12.75">
      <c r="B13" s="11">
        <v>30</v>
      </c>
      <c r="C13" s="59">
        <f>PMT(B$4,B13,-B$3)</f>
        <v>5783.00991336613</v>
      </c>
      <c r="D13" s="59">
        <f>PV(B$4,B13-5,-C13)</f>
        <v>90342.64318153137</v>
      </c>
      <c r="E13" s="60">
        <f>D13/B$3</f>
        <v>0.9034264318153137</v>
      </c>
      <c r="G13" s="77">
        <v>30</v>
      </c>
      <c r="H13" s="116">
        <f>PMT(G$4,G13,-G$3)</f>
        <v>5783.00991336613</v>
      </c>
      <c r="I13" s="117">
        <f>G13*H13-G$3</f>
        <v>73490.2974009839</v>
      </c>
      <c r="J13" s="118">
        <f>I13/G$3</f>
        <v>0.734902974009839</v>
      </c>
    </row>
  </sheetData>
  <printOptions/>
  <pageMargins left="0.75" right="0.75" top="1" bottom="1" header="0.4921259845" footer="0.4921259845"/>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1:H70"/>
  <sheetViews>
    <sheetView workbookViewId="0" topLeftCell="A1">
      <selection activeCell="J53" sqref="J53"/>
    </sheetView>
  </sheetViews>
  <sheetFormatPr defaultColWidth="11.00390625" defaultRowHeight="12.75"/>
  <cols>
    <col min="1" max="1" width="13.375" style="0" customWidth="1"/>
    <col min="2" max="2" width="11.25390625" style="0" customWidth="1"/>
    <col min="4" max="5" width="14.625" style="0" customWidth="1"/>
    <col min="6" max="6" width="11.625" style="0" bestFit="1" customWidth="1"/>
    <col min="7" max="7" width="12.625" style="0" customWidth="1"/>
  </cols>
  <sheetData>
    <row r="1" ht="12.75">
      <c r="A1" s="1" t="s">
        <v>64</v>
      </c>
    </row>
    <row r="2" ht="12.75">
      <c r="A2" s="63" t="s">
        <v>82</v>
      </c>
    </row>
    <row r="3" spans="1:2" ht="12.75">
      <c r="A3" s="2" t="s">
        <v>148</v>
      </c>
      <c r="B3" s="6">
        <v>150000</v>
      </c>
    </row>
    <row r="4" spans="1:2" ht="12.75">
      <c r="A4" s="14" t="s">
        <v>170</v>
      </c>
      <c r="B4" s="2">
        <v>20</v>
      </c>
    </row>
    <row r="5" spans="1:2" ht="12.75">
      <c r="A5" s="50"/>
      <c r="B5" s="18"/>
    </row>
    <row r="6" spans="1:4" ht="12.75">
      <c r="A6" s="61" t="s">
        <v>79</v>
      </c>
      <c r="B6" s="67"/>
      <c r="D6" s="63" t="s">
        <v>83</v>
      </c>
    </row>
    <row r="7" spans="1:5" ht="12.75">
      <c r="A7" s="2" t="s">
        <v>162</v>
      </c>
      <c r="B7" s="48">
        <v>0.048</v>
      </c>
      <c r="D7" s="2" t="s">
        <v>66</v>
      </c>
      <c r="E7" s="29">
        <f>B7/12</f>
        <v>0.004</v>
      </c>
    </row>
    <row r="8" spans="1:3" ht="12.75">
      <c r="A8" s="14" t="s">
        <v>67</v>
      </c>
      <c r="B8" s="2">
        <v>3</v>
      </c>
      <c r="C8" t="s">
        <v>164</v>
      </c>
    </row>
    <row r="9" ht="12.75">
      <c r="E9" s="63" t="s">
        <v>84</v>
      </c>
    </row>
    <row r="10" spans="1:6" ht="12.75">
      <c r="A10" s="61" t="s">
        <v>67</v>
      </c>
      <c r="B10" t="s">
        <v>72</v>
      </c>
      <c r="E10" s="2" t="s">
        <v>169</v>
      </c>
      <c r="F10" s="62">
        <f>B3*E7</f>
        <v>600</v>
      </c>
    </row>
    <row r="11" spans="5:6" ht="12.75">
      <c r="E11" s="14" t="s">
        <v>85</v>
      </c>
      <c r="F11" s="62">
        <f>B3</f>
        <v>150000</v>
      </c>
    </row>
    <row r="13" ht="12.75">
      <c r="A13" s="61" t="s">
        <v>81</v>
      </c>
    </row>
    <row r="14" spans="1:2" ht="12.75">
      <c r="A14" s="2" t="s">
        <v>163</v>
      </c>
      <c r="B14" s="48">
        <v>0.054</v>
      </c>
    </row>
    <row r="15" spans="1:4" ht="12.75">
      <c r="A15" s="14" t="s">
        <v>87</v>
      </c>
      <c r="B15" s="2">
        <v>17</v>
      </c>
      <c r="C15" t="s">
        <v>164</v>
      </c>
      <c r="D15" s="63" t="s">
        <v>83</v>
      </c>
    </row>
    <row r="16" spans="1:5" ht="12.75">
      <c r="A16" s="61" t="s">
        <v>68</v>
      </c>
      <c r="C16" s="126" t="s">
        <v>73</v>
      </c>
      <c r="D16" s="14" t="s">
        <v>85</v>
      </c>
      <c r="E16" s="62">
        <f>B3</f>
        <v>150000</v>
      </c>
    </row>
    <row r="17" spans="4:5" ht="12.75">
      <c r="D17" s="2" t="s">
        <v>66</v>
      </c>
      <c r="E17" s="17">
        <f>B14/12</f>
        <v>0.0045</v>
      </c>
    </row>
    <row r="18" spans="4:5" ht="12.75">
      <c r="D18" s="14" t="s">
        <v>86</v>
      </c>
      <c r="E18" s="2">
        <f>B15*12</f>
        <v>204</v>
      </c>
    </row>
    <row r="19" spans="4:5" ht="12.75">
      <c r="D19" s="50"/>
      <c r="E19" s="53"/>
    </row>
    <row r="20" spans="4:5" ht="12.75">
      <c r="D20" s="50"/>
      <c r="E20" s="63" t="s">
        <v>84</v>
      </c>
    </row>
    <row r="21" spans="5:6" ht="12.75">
      <c r="E21" s="2" t="s">
        <v>169</v>
      </c>
      <c r="F21" s="62">
        <f>PMT(E17,E18,-E16)</f>
        <v>1125.2626494223266</v>
      </c>
    </row>
    <row r="25" spans="1:4" ht="12.75">
      <c r="A25" s="61" t="s">
        <v>88</v>
      </c>
      <c r="D25" s="63" t="s">
        <v>83</v>
      </c>
    </row>
    <row r="26" spans="1:5" ht="12.75">
      <c r="A26" s="14" t="s">
        <v>87</v>
      </c>
      <c r="B26" s="2">
        <v>15</v>
      </c>
      <c r="C26" t="s">
        <v>164</v>
      </c>
      <c r="D26" s="14" t="s">
        <v>86</v>
      </c>
      <c r="E26" s="2">
        <f>B26*12</f>
        <v>180</v>
      </c>
    </row>
    <row r="27" spans="4:5" ht="12.75">
      <c r="D27" s="2" t="s">
        <v>169</v>
      </c>
      <c r="E27" s="62">
        <f>F21</f>
        <v>1125.2626494223266</v>
      </c>
    </row>
    <row r="28" spans="4:5" ht="12.75">
      <c r="D28" s="18"/>
      <c r="E28" s="53"/>
    </row>
    <row r="29" spans="4:5" ht="12.75">
      <c r="D29" s="18"/>
      <c r="E29" s="63" t="s">
        <v>84</v>
      </c>
    </row>
    <row r="30" spans="5:6" ht="12.75">
      <c r="E30" s="14" t="s">
        <v>85</v>
      </c>
      <c r="F30" s="62">
        <f>PV(E17,E26,-F21)</f>
        <v>138615.57179069993</v>
      </c>
    </row>
    <row r="32" spans="1:5" ht="12.75">
      <c r="A32" s="2" t="s">
        <v>89</v>
      </c>
      <c r="B32" s="49">
        <v>0.06</v>
      </c>
      <c r="D32" s="2" t="s">
        <v>66</v>
      </c>
      <c r="E32" s="29">
        <f>B32/12</f>
        <v>0.005</v>
      </c>
    </row>
    <row r="33" spans="4:5" ht="24.75">
      <c r="D33" s="127" t="s">
        <v>69</v>
      </c>
      <c r="E33" s="128">
        <f>F21</f>
        <v>1125.2626494223266</v>
      </c>
    </row>
    <row r="34" spans="4:5" ht="12.75">
      <c r="D34" s="18"/>
      <c r="E34" s="16"/>
    </row>
    <row r="35" ht="12.75">
      <c r="E35" s="63" t="s">
        <v>84</v>
      </c>
    </row>
    <row r="36" spans="5:6" ht="12.75">
      <c r="E36" s="2" t="s">
        <v>90</v>
      </c>
      <c r="F36" s="122">
        <f>NPER(E32,-E33,F30)</f>
        <v>191.86176173715447</v>
      </c>
    </row>
    <row r="37" spans="5:6" ht="12.75">
      <c r="E37" s="129" t="s">
        <v>91</v>
      </c>
      <c r="F37" s="130">
        <f>F36-E26</f>
        <v>11.861761737154467</v>
      </c>
    </row>
    <row r="40" spans="1:4" ht="12.75">
      <c r="A40" s="61" t="s">
        <v>92</v>
      </c>
      <c r="D40" s="1"/>
    </row>
    <row r="41" ht="12.75">
      <c r="D41" s="63" t="s">
        <v>74</v>
      </c>
    </row>
    <row r="42" spans="1:5" ht="12.75">
      <c r="A42" s="14" t="s">
        <v>87</v>
      </c>
      <c r="B42" s="2">
        <v>15</v>
      </c>
      <c r="D42" s="123" t="s">
        <v>85</v>
      </c>
      <c r="E42" s="124">
        <f>F30</f>
        <v>138615.57179069993</v>
      </c>
    </row>
    <row r="43" spans="1:5" ht="12.75">
      <c r="A43" s="2" t="s">
        <v>89</v>
      </c>
      <c r="B43" s="49">
        <v>0.06</v>
      </c>
      <c r="C43" t="s">
        <v>164</v>
      </c>
      <c r="D43" s="30" t="s">
        <v>66</v>
      </c>
      <c r="E43" s="125">
        <f>B43/12</f>
        <v>0.005</v>
      </c>
    </row>
    <row r="45" spans="4:7" ht="12.75">
      <c r="D45" s="63" t="s">
        <v>83</v>
      </c>
      <c r="G45" s="131" t="s">
        <v>84</v>
      </c>
    </row>
    <row r="46" spans="1:8" ht="12.75">
      <c r="A46" s="2" t="s">
        <v>70</v>
      </c>
      <c r="B46" s="66">
        <f>0.9</f>
        <v>0.9</v>
      </c>
      <c r="D46" s="2" t="s">
        <v>78</v>
      </c>
      <c r="E46" s="15">
        <f>B46*E$33</f>
        <v>1012.736384480094</v>
      </c>
      <c r="G46" s="132" t="s">
        <v>90</v>
      </c>
      <c r="H46" s="133">
        <f>NPER(E$43,-E46,E$42)</f>
        <v>231.20768359181397</v>
      </c>
    </row>
    <row r="47" spans="7:8" ht="12.75">
      <c r="G47" s="132" t="s">
        <v>91</v>
      </c>
      <c r="H47" s="133">
        <f>H46-180</f>
        <v>51.207683591813975</v>
      </c>
    </row>
    <row r="49" ht="12.75">
      <c r="G49" s="131" t="s">
        <v>84</v>
      </c>
    </row>
    <row r="50" spans="1:8" ht="12.75">
      <c r="A50" s="2" t="s">
        <v>70</v>
      </c>
      <c r="B50" s="66">
        <f>0.8</f>
        <v>0.8</v>
      </c>
      <c r="D50" s="2" t="s">
        <v>78</v>
      </c>
      <c r="E50" s="15">
        <f>B50*E$33</f>
        <v>900.2101195378614</v>
      </c>
      <c r="G50" s="147" t="s">
        <v>90</v>
      </c>
      <c r="H50" s="133">
        <f>NPER(E$43,-E50,E$42)</f>
        <v>294.5881592615096</v>
      </c>
    </row>
    <row r="51" spans="7:8" ht="12.75">
      <c r="G51" s="147" t="s">
        <v>91</v>
      </c>
      <c r="H51" s="133">
        <f>H50-180</f>
        <v>114.58815926150959</v>
      </c>
    </row>
    <row r="53" ht="12.75">
      <c r="G53" s="131" t="s">
        <v>84</v>
      </c>
    </row>
    <row r="54" spans="1:8" ht="12.75">
      <c r="A54" s="2" t="s">
        <v>70</v>
      </c>
      <c r="B54" s="66">
        <f>0.7</f>
        <v>0.7</v>
      </c>
      <c r="D54" s="2" t="s">
        <v>78</v>
      </c>
      <c r="E54" s="15">
        <f>B54*E$33</f>
        <v>787.6838545956285</v>
      </c>
      <c r="G54" s="146" t="s">
        <v>90</v>
      </c>
      <c r="H54" s="133">
        <f>NPER(E$43,-E54,E$42)</f>
        <v>424.9339984404786</v>
      </c>
    </row>
    <row r="55" spans="7:8" ht="12.75">
      <c r="G55" s="146" t="s">
        <v>91</v>
      </c>
      <c r="H55" s="133">
        <f>H54-180</f>
        <v>244.9339984404786</v>
      </c>
    </row>
    <row r="59" ht="12.75">
      <c r="B59" s="134" t="s">
        <v>75</v>
      </c>
    </row>
    <row r="60" spans="1:4" ht="36">
      <c r="A60" s="1"/>
      <c r="B60" s="135" t="s">
        <v>76</v>
      </c>
      <c r="C60" s="136" t="s">
        <v>169</v>
      </c>
      <c r="D60" s="135" t="s">
        <v>71</v>
      </c>
    </row>
    <row r="61" spans="2:4" ht="12.75">
      <c r="B61" s="137">
        <v>0</v>
      </c>
      <c r="C61" s="138">
        <f>E33</f>
        <v>1125.2626494223266</v>
      </c>
      <c r="D61" s="139">
        <f>F37</f>
        <v>11.861761737154467</v>
      </c>
    </row>
    <row r="62" spans="2:4" ht="12.75">
      <c r="B62" s="140">
        <v>0.1</v>
      </c>
      <c r="C62" s="141">
        <f>(1-B62)*C$61</f>
        <v>1012.736384480094</v>
      </c>
      <c r="D62" s="142">
        <f>H47</f>
        <v>51.207683591813975</v>
      </c>
    </row>
    <row r="63" spans="2:4" ht="12.75">
      <c r="B63" s="140">
        <v>0.2</v>
      </c>
      <c r="C63" s="141">
        <f>(1-B63)*C$61</f>
        <v>900.2101195378614</v>
      </c>
      <c r="D63" s="142">
        <f>H51</f>
        <v>114.58815926150959</v>
      </c>
    </row>
    <row r="64" spans="2:4" ht="12.75">
      <c r="B64" s="143">
        <v>0.3</v>
      </c>
      <c r="C64" s="144">
        <f>(1-B64)*C$61</f>
        <v>787.6838545956285</v>
      </c>
      <c r="D64" s="145">
        <f>H55</f>
        <v>244.9339984404786</v>
      </c>
    </row>
    <row r="68" spans="1:4" ht="24.75">
      <c r="A68" s="151" t="s">
        <v>106</v>
      </c>
      <c r="B68" s="148">
        <f>0.2</f>
        <v>0.2</v>
      </c>
      <c r="D68" s="150" t="s">
        <v>77</v>
      </c>
    </row>
    <row r="70" ht="12.75">
      <c r="D70" s="149">
        <v>120000</v>
      </c>
    </row>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F43"/>
  <sheetViews>
    <sheetView workbookViewId="0" topLeftCell="A1">
      <selection activeCell="F30" sqref="F30"/>
    </sheetView>
  </sheetViews>
  <sheetFormatPr defaultColWidth="11.00390625" defaultRowHeight="12.75"/>
  <cols>
    <col min="1" max="1" width="14.625" style="0" customWidth="1"/>
    <col min="4" max="4" width="12.00390625" style="0" customWidth="1"/>
    <col min="5" max="5" width="11.75390625" style="0" customWidth="1"/>
  </cols>
  <sheetData>
    <row r="1" ht="12.75">
      <c r="A1" s="1" t="s">
        <v>107</v>
      </c>
    </row>
    <row r="3" ht="12.75">
      <c r="A3" s="1" t="s">
        <v>108</v>
      </c>
    </row>
    <row r="4" ht="12.75">
      <c r="A4" s="63" t="s">
        <v>82</v>
      </c>
    </row>
    <row r="5" spans="1:2" ht="12.75">
      <c r="A5" s="30" t="s">
        <v>113</v>
      </c>
      <c r="B5" s="68">
        <v>35246</v>
      </c>
    </row>
    <row r="6" spans="1:2" ht="12.75">
      <c r="A6" s="2" t="s">
        <v>109</v>
      </c>
      <c r="B6" s="6">
        <v>7000</v>
      </c>
    </row>
    <row r="7" spans="1:4" ht="12.75">
      <c r="A7" t="s">
        <v>110</v>
      </c>
      <c r="B7" s="6">
        <v>150</v>
      </c>
      <c r="D7" s="63" t="s">
        <v>83</v>
      </c>
    </row>
    <row r="8" spans="1:5" ht="12.75">
      <c r="A8" s="2" t="s">
        <v>111</v>
      </c>
      <c r="B8" s="49">
        <v>0.03</v>
      </c>
      <c r="D8" s="2" t="s">
        <v>112</v>
      </c>
      <c r="E8" s="65">
        <f>(1+B8)^(1/12)-1</f>
        <v>0.0024662697723036864</v>
      </c>
    </row>
    <row r="9" spans="1:5" ht="12.75">
      <c r="A9" s="2" t="s">
        <v>65</v>
      </c>
      <c r="B9" s="2">
        <v>4</v>
      </c>
      <c r="C9" t="s">
        <v>164</v>
      </c>
      <c r="D9" s="14" t="s">
        <v>80</v>
      </c>
      <c r="E9" s="2">
        <f>B9*12</f>
        <v>48</v>
      </c>
    </row>
    <row r="11" ht="12.75">
      <c r="D11" s="63" t="s">
        <v>115</v>
      </c>
    </row>
    <row r="12" spans="4:6" ht="12.75">
      <c r="D12" s="2" t="s">
        <v>114</v>
      </c>
      <c r="E12" s="2"/>
      <c r="F12" s="62">
        <f>FV(E8,E9,-B7,-B6,1)</f>
        <v>15530.908748807491</v>
      </c>
    </row>
    <row r="14" ht="12.75">
      <c r="D14" s="63" t="s">
        <v>115</v>
      </c>
    </row>
    <row r="15" spans="4:6" ht="12.75">
      <c r="D15" s="14" t="s">
        <v>116</v>
      </c>
      <c r="E15" s="2"/>
      <c r="F15" s="62">
        <f>F12-B6-E9*B7</f>
        <v>1330.908748807491</v>
      </c>
    </row>
    <row r="16" spans="1:6" ht="12.75">
      <c r="A16" s="14" t="s">
        <v>117</v>
      </c>
      <c r="B16" s="66">
        <v>0.4</v>
      </c>
      <c r="D16" s="14" t="s">
        <v>118</v>
      </c>
      <c r="E16" s="2"/>
      <c r="F16" s="62">
        <f>F15*B16</f>
        <v>532.3634995229964</v>
      </c>
    </row>
    <row r="17" spans="4:6" ht="12.75">
      <c r="D17" s="14" t="s">
        <v>119</v>
      </c>
      <c r="E17" s="2"/>
      <c r="F17" s="62">
        <f>F15+F16</f>
        <v>1863.2722483304874</v>
      </c>
    </row>
    <row r="21" ht="12.75">
      <c r="A21" s="1" t="s">
        <v>120</v>
      </c>
    </row>
    <row r="22" ht="12.75">
      <c r="A22" s="63" t="s">
        <v>82</v>
      </c>
    </row>
    <row r="23" spans="1:2" ht="12.75">
      <c r="A23" s="30" t="s">
        <v>113</v>
      </c>
      <c r="B23" s="68">
        <v>36707</v>
      </c>
    </row>
    <row r="24" spans="1:2" ht="12.75">
      <c r="A24" s="2" t="s">
        <v>121</v>
      </c>
      <c r="B24" s="6">
        <v>12000</v>
      </c>
    </row>
    <row r="25" spans="1:2" ht="12.75">
      <c r="A25" s="2" t="s">
        <v>111</v>
      </c>
      <c r="B25" s="48">
        <v>0.046</v>
      </c>
    </row>
    <row r="26" spans="1:4" ht="12.75">
      <c r="A26" s="2" t="s">
        <v>65</v>
      </c>
      <c r="B26" s="2">
        <v>5</v>
      </c>
      <c r="C26" t="s">
        <v>164</v>
      </c>
      <c r="D26" s="63" t="s">
        <v>115</v>
      </c>
    </row>
    <row r="27" spans="4:5" ht="12.75">
      <c r="D27" s="2" t="s">
        <v>122</v>
      </c>
      <c r="E27" s="62">
        <f>PMT(B25,B26,-B24)</f>
        <v>2741.121426247254</v>
      </c>
    </row>
    <row r="28" spans="4:5" ht="12.75">
      <c r="D28" s="18"/>
      <c r="E28" s="53"/>
    </row>
    <row r="29" ht="12.75" customHeight="1"/>
    <row r="30" spans="4:6" ht="16.5" customHeight="1">
      <c r="D30" s="210" t="s">
        <v>124</v>
      </c>
      <c r="E30" s="211"/>
      <c r="F30" s="69">
        <f>2.5*F17</f>
        <v>4658.180620826219</v>
      </c>
    </row>
    <row r="31" spans="4:6" ht="12.75">
      <c r="D31" s="2" t="s">
        <v>123</v>
      </c>
      <c r="E31" s="2"/>
      <c r="F31" s="62">
        <f>B26*E27-B24</f>
        <v>1705.6071312362692</v>
      </c>
    </row>
    <row r="34" ht="12.75">
      <c r="A34" s="63" t="s">
        <v>125</v>
      </c>
    </row>
    <row r="35" spans="1:2" ht="12.75">
      <c r="A35" s="30" t="s">
        <v>113</v>
      </c>
      <c r="B35" s="68">
        <v>36707</v>
      </c>
    </row>
    <row r="36" spans="1:2" ht="12.75">
      <c r="A36" s="2" t="s">
        <v>121</v>
      </c>
      <c r="B36" s="70">
        <v>32773.174417653536</v>
      </c>
    </row>
    <row r="37" spans="1:2" ht="12.75">
      <c r="A37" s="2" t="s">
        <v>111</v>
      </c>
      <c r="B37" s="48">
        <v>0.046</v>
      </c>
    </row>
    <row r="38" spans="1:4" ht="12.75">
      <c r="A38" s="2" t="s">
        <v>65</v>
      </c>
      <c r="B38" s="2">
        <v>5</v>
      </c>
      <c r="C38" t="s">
        <v>164</v>
      </c>
      <c r="D38" s="63" t="s">
        <v>115</v>
      </c>
    </row>
    <row r="39" spans="4:5" ht="12.75">
      <c r="D39" s="2" t="s">
        <v>122</v>
      </c>
      <c r="E39" s="62">
        <f>PMT(B37,B38,-B36)</f>
        <v>7486.270883530707</v>
      </c>
    </row>
    <row r="40" spans="4:5" ht="12.75">
      <c r="D40" s="18"/>
      <c r="E40" s="53"/>
    </row>
    <row r="42" spans="4:6" ht="15.75" customHeight="1">
      <c r="D42" s="210" t="s">
        <v>124</v>
      </c>
      <c r="E42" s="211"/>
      <c r="F42" s="69">
        <v>4658.180620826219</v>
      </c>
    </row>
    <row r="43" spans="4:6" ht="12.75">
      <c r="D43" s="2" t="s">
        <v>123</v>
      </c>
      <c r="E43" s="2"/>
      <c r="F43" s="62">
        <f>B38*E39-B36</f>
        <v>4658.18</v>
      </c>
    </row>
  </sheetData>
  <mergeCells count="2">
    <mergeCell ref="D30:E30"/>
    <mergeCell ref="D42:E42"/>
  </mergeCells>
  <printOptions/>
  <pageMargins left="0.75" right="0.75" top="1" bottom="1"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E42"/>
  <sheetViews>
    <sheetView workbookViewId="0" topLeftCell="A1">
      <selection activeCell="B32" sqref="B32:D42"/>
    </sheetView>
  </sheetViews>
  <sheetFormatPr defaultColWidth="11.00390625" defaultRowHeight="12.75"/>
  <cols>
    <col min="3" max="3" width="11.00390625" style="0" customWidth="1"/>
    <col min="4" max="4" width="12.625" style="0" customWidth="1"/>
  </cols>
  <sheetData>
    <row r="1" ht="12.75">
      <c r="A1" s="1" t="s">
        <v>174</v>
      </c>
    </row>
    <row r="3" spans="1:3" ht="12.75">
      <c r="A3" s="1" t="s">
        <v>0</v>
      </c>
      <c r="B3" s="152" t="s">
        <v>1</v>
      </c>
      <c r="C3" s="153">
        <v>0.05</v>
      </c>
    </row>
    <row r="5" spans="2:5" ht="12.75">
      <c r="B5" s="152" t="s">
        <v>2</v>
      </c>
      <c r="C5" s="152" t="s">
        <v>3</v>
      </c>
      <c r="D5" s="2" t="s">
        <v>4</v>
      </c>
      <c r="E5" s="67"/>
    </row>
    <row r="6" spans="2:5" ht="12.75">
      <c r="B6" s="7">
        <v>0</v>
      </c>
      <c r="C6" s="8">
        <v>-100000</v>
      </c>
      <c r="D6" s="8">
        <f aca="true" t="shared" si="0" ref="D6:D11">C6/(1+C$3)^B6</f>
        <v>-100000</v>
      </c>
      <c r="E6" s="67"/>
    </row>
    <row r="7" spans="2:5" ht="12.75">
      <c r="B7" s="9">
        <v>1</v>
      </c>
      <c r="C7" s="10">
        <v>18000</v>
      </c>
      <c r="D7" s="10">
        <f t="shared" si="0"/>
        <v>17142.85714285714</v>
      </c>
      <c r="E7" s="67" t="s">
        <v>5</v>
      </c>
    </row>
    <row r="8" spans="2:5" ht="12.75">
      <c r="B8" s="9">
        <v>2</v>
      </c>
      <c r="C8" s="10">
        <v>20000</v>
      </c>
      <c r="D8" s="10">
        <f t="shared" si="0"/>
        <v>18140.589569161</v>
      </c>
      <c r="E8" s="67"/>
    </row>
    <row r="9" spans="2:5" ht="12.75">
      <c r="B9" s="9">
        <v>3</v>
      </c>
      <c r="C9" s="10">
        <v>25000</v>
      </c>
      <c r="D9" s="10">
        <f t="shared" si="0"/>
        <v>21595.9399632869</v>
      </c>
      <c r="E9" s="67"/>
    </row>
    <row r="10" spans="2:5" ht="12.75">
      <c r="B10" s="9">
        <v>4</v>
      </c>
      <c r="C10" s="10">
        <v>28000</v>
      </c>
      <c r="D10" s="10">
        <f t="shared" si="0"/>
        <v>23035.669294172694</v>
      </c>
      <c r="E10" s="67"/>
    </row>
    <row r="11" spans="2:5" ht="12.75">
      <c r="B11" s="11">
        <v>5</v>
      </c>
      <c r="C11" s="12">
        <v>32000</v>
      </c>
      <c r="D11" s="12">
        <f t="shared" si="0"/>
        <v>25072.837326990688</v>
      </c>
      <c r="E11" s="67"/>
    </row>
    <row r="12" spans="3:5" ht="12.75">
      <c r="C12" s="152" t="s">
        <v>6</v>
      </c>
      <c r="D12" s="6">
        <f>SUM(D6:D11)</f>
        <v>4987.893296468421</v>
      </c>
      <c r="E12" s="67"/>
    </row>
    <row r="13" ht="12.75">
      <c r="E13" s="67"/>
    </row>
    <row r="14" spans="2:4" ht="12.75">
      <c r="B14" s="2" t="s">
        <v>7</v>
      </c>
      <c r="C14" s="62">
        <f>NPV(C3,C7:C11)+C6</f>
        <v>4987.893296468406</v>
      </c>
      <c r="D14" s="67" t="s">
        <v>8</v>
      </c>
    </row>
    <row r="15" spans="2:4" ht="12.75">
      <c r="B15" s="2" t="s">
        <v>9</v>
      </c>
      <c r="C15" s="3">
        <f>IRR(C6:C11)</f>
        <v>0.06618182389062323</v>
      </c>
      <c r="D15" s="67" t="s">
        <v>10</v>
      </c>
    </row>
    <row r="18" spans="1:3" ht="12.75">
      <c r="A18" s="1" t="s">
        <v>11</v>
      </c>
      <c r="B18" s="152" t="s">
        <v>1</v>
      </c>
      <c r="C18" s="153">
        <v>0.05</v>
      </c>
    </row>
    <row r="20" spans="2:4" ht="24">
      <c r="B20" s="4" t="s">
        <v>2</v>
      </c>
      <c r="C20" s="4" t="s">
        <v>3</v>
      </c>
      <c r="D20" s="33" t="s">
        <v>12</v>
      </c>
    </row>
    <row r="21" spans="2:5" ht="12.75">
      <c r="B21" s="7">
        <v>0</v>
      </c>
      <c r="C21" s="8">
        <v>-100000</v>
      </c>
      <c r="D21" s="154">
        <f aca="true" t="shared" si="1" ref="D21:D26">C21*(1+C$18)^(B$26-B21)</f>
        <v>-127628.15625000001</v>
      </c>
      <c r="E21" t="s">
        <v>13</v>
      </c>
    </row>
    <row r="22" spans="2:4" ht="12.75">
      <c r="B22" s="9">
        <v>1</v>
      </c>
      <c r="C22" s="10">
        <v>18000</v>
      </c>
      <c r="D22" s="155">
        <f t="shared" si="1"/>
        <v>21879.1125</v>
      </c>
    </row>
    <row r="23" spans="2:4" ht="12.75">
      <c r="B23" s="9">
        <v>2</v>
      </c>
      <c r="C23" s="10">
        <v>20000</v>
      </c>
      <c r="D23" s="155">
        <f t="shared" si="1"/>
        <v>23152.500000000004</v>
      </c>
    </row>
    <row r="24" spans="2:4" ht="12.75">
      <c r="B24" s="9">
        <v>3</v>
      </c>
      <c r="C24" s="10">
        <v>25000</v>
      </c>
      <c r="D24" s="155">
        <f t="shared" si="1"/>
        <v>27562.5</v>
      </c>
    </row>
    <row r="25" spans="2:4" ht="12.75">
      <c r="B25" s="9">
        <v>4</v>
      </c>
      <c r="C25" s="10">
        <v>28000</v>
      </c>
      <c r="D25" s="155">
        <f t="shared" si="1"/>
        <v>29400</v>
      </c>
    </row>
    <row r="26" spans="2:4" ht="12.75">
      <c r="B26" s="11">
        <v>5</v>
      </c>
      <c r="C26" s="12">
        <v>32000</v>
      </c>
      <c r="D26" s="156">
        <f t="shared" si="1"/>
        <v>32000</v>
      </c>
    </row>
    <row r="27" spans="3:4" ht="12.75">
      <c r="C27" s="152" t="s">
        <v>6</v>
      </c>
      <c r="D27" s="6">
        <f>SUM(D21:D26)</f>
        <v>6365.956249999988</v>
      </c>
    </row>
    <row r="29" spans="3:5" ht="24.75">
      <c r="C29" s="157" t="s">
        <v>14</v>
      </c>
      <c r="D29" s="69">
        <f>PV(C18,B26,,-D27)</f>
        <v>4987.893296468417</v>
      </c>
      <c r="E29" s="158" t="s">
        <v>15</v>
      </c>
    </row>
    <row r="32" spans="1:3" ht="12.75">
      <c r="A32" s="1" t="s">
        <v>16</v>
      </c>
      <c r="B32" s="152" t="s">
        <v>9</v>
      </c>
      <c r="C32" s="159">
        <f>C15</f>
        <v>0.06618182389062323</v>
      </c>
    </row>
    <row r="34" spans="2:4" ht="24">
      <c r="B34" s="4" t="s">
        <v>2</v>
      </c>
      <c r="C34" s="4" t="s">
        <v>3</v>
      </c>
      <c r="D34" s="33" t="s">
        <v>12</v>
      </c>
    </row>
    <row r="35" spans="2:5" ht="12.75">
      <c r="B35" s="9">
        <v>1</v>
      </c>
      <c r="C35" s="160">
        <v>18000</v>
      </c>
      <c r="D35" s="155">
        <f>C35*(1+C$32)^(B$39-B35)</f>
        <v>23259.351557619982</v>
      </c>
      <c r="E35" t="s">
        <v>17</v>
      </c>
    </row>
    <row r="36" spans="2:4" ht="12.75">
      <c r="B36" s="9">
        <v>2</v>
      </c>
      <c r="C36" s="160">
        <v>20000</v>
      </c>
      <c r="D36" s="155">
        <f>C36*(1+C$32)^(B$39-B36)</f>
        <v>24239.509034776354</v>
      </c>
    </row>
    <row r="37" spans="2:4" ht="12.75">
      <c r="B37" s="9">
        <v>3</v>
      </c>
      <c r="C37" s="160">
        <v>25000</v>
      </c>
      <c r="D37" s="155">
        <f>C37*(1+C$32)^(B$39-B37)</f>
        <v>28418.5920398684</v>
      </c>
    </row>
    <row r="38" spans="2:4" ht="12.75">
      <c r="B38" s="9">
        <v>4</v>
      </c>
      <c r="C38" s="160">
        <v>28000</v>
      </c>
      <c r="D38" s="155">
        <f>C38*(1+C$32)^(B$39-B38)</f>
        <v>29853.091068937454</v>
      </c>
    </row>
    <row r="39" spans="2:4" ht="12.75">
      <c r="B39" s="11">
        <v>5</v>
      </c>
      <c r="C39" s="161">
        <v>32000</v>
      </c>
      <c r="D39" s="156">
        <f>C39*(1+C$32)^(B$39-B39)</f>
        <v>32000</v>
      </c>
    </row>
    <row r="40" spans="3:4" ht="12.75">
      <c r="C40" s="152" t="s">
        <v>6</v>
      </c>
      <c r="D40" s="12">
        <f>SUM(D35:D39)</f>
        <v>137770.5437012022</v>
      </c>
    </row>
    <row r="42" spans="3:5" ht="24.75">
      <c r="C42" s="157" t="s">
        <v>14</v>
      </c>
      <c r="D42" s="69">
        <f>PV(C32,B39,,-D40)</f>
        <v>99999.99999999964</v>
      </c>
      <c r="E42" s="158" t="s">
        <v>18</v>
      </c>
    </row>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H43"/>
  <sheetViews>
    <sheetView workbookViewId="0" topLeftCell="A1">
      <selection activeCell="A1" sqref="A1:A3"/>
    </sheetView>
  </sheetViews>
  <sheetFormatPr defaultColWidth="11.00390625" defaultRowHeight="12.75"/>
  <cols>
    <col min="3" max="3" width="11.375" style="0" customWidth="1"/>
    <col min="5" max="5" width="11.25390625" style="0" customWidth="1"/>
    <col min="6" max="6" width="10.875" style="0" customWidth="1"/>
  </cols>
  <sheetData>
    <row r="1" ht="12.75">
      <c r="A1" s="1" t="s">
        <v>19</v>
      </c>
    </row>
    <row r="3" spans="1:2" ht="12.75">
      <c r="A3" s="1" t="s">
        <v>0</v>
      </c>
      <c r="B3" s="1" t="s">
        <v>20</v>
      </c>
    </row>
    <row r="4" spans="2:3" ht="12.75">
      <c r="B4" s="152" t="s">
        <v>1</v>
      </c>
      <c r="C4" s="153">
        <v>0.03</v>
      </c>
    </row>
    <row r="6" spans="2:3" ht="12.75">
      <c r="B6" s="152" t="s">
        <v>2</v>
      </c>
      <c r="C6" s="152" t="s">
        <v>3</v>
      </c>
    </row>
    <row r="7" spans="2:3" ht="12.75">
      <c r="B7" s="7">
        <v>0</v>
      </c>
      <c r="C7" s="8">
        <v>-130000</v>
      </c>
    </row>
    <row r="8" spans="2:3" ht="12.75">
      <c r="B8" s="9">
        <v>1</v>
      </c>
      <c r="C8" s="10">
        <v>16500</v>
      </c>
    </row>
    <row r="9" spans="2:3" ht="12.75">
      <c r="B9" s="9">
        <v>2</v>
      </c>
      <c r="C9" s="10">
        <v>36050</v>
      </c>
    </row>
    <row r="10" spans="2:3" ht="12.75">
      <c r="B10" s="9">
        <v>3</v>
      </c>
      <c r="C10" s="10">
        <v>30000</v>
      </c>
    </row>
    <row r="11" spans="2:3" ht="12.75">
      <c r="B11" s="9">
        <v>4</v>
      </c>
      <c r="C11" s="10">
        <v>31000</v>
      </c>
    </row>
    <row r="12" spans="2:3" ht="12.75">
      <c r="B12" s="11">
        <v>5</v>
      </c>
      <c r="C12" s="12">
        <v>34000</v>
      </c>
    </row>
    <row r="14" spans="2:3" ht="12.75">
      <c r="B14" s="2" t="s">
        <v>21</v>
      </c>
      <c r="C14" s="62">
        <f>NPV(C4,C8:C12)+C7</f>
        <v>4326.0469350426865</v>
      </c>
    </row>
    <row r="15" spans="2:3" ht="12.75">
      <c r="B15" s="2" t="s">
        <v>9</v>
      </c>
      <c r="C15" s="162">
        <f>IRR(C7:C12)</f>
        <v>0.04079105276235905</v>
      </c>
    </row>
    <row r="19" spans="1:2" ht="12.75">
      <c r="A19" s="1" t="s">
        <v>11</v>
      </c>
      <c r="B19" s="1" t="s">
        <v>121</v>
      </c>
    </row>
    <row r="20" spans="2:3" ht="12.75">
      <c r="B20" s="71" t="s">
        <v>148</v>
      </c>
      <c r="C20" s="6">
        <v>50000</v>
      </c>
    </row>
    <row r="21" spans="2:3" ht="12.75">
      <c r="B21" s="71" t="s">
        <v>149</v>
      </c>
      <c r="C21" s="163">
        <v>0.04</v>
      </c>
    </row>
    <row r="22" spans="2:4" ht="12.75">
      <c r="B22" s="71" t="s">
        <v>65</v>
      </c>
      <c r="C22" s="2">
        <v>2</v>
      </c>
      <c r="D22" t="s">
        <v>164</v>
      </c>
    </row>
    <row r="23" spans="2:3" ht="12.75">
      <c r="B23" s="164" t="s">
        <v>22</v>
      </c>
      <c r="C23" s="39"/>
    </row>
    <row r="24" spans="2:3" ht="12.75">
      <c r="B24" s="165" t="s">
        <v>23</v>
      </c>
      <c r="C24" s="6">
        <v>17000</v>
      </c>
    </row>
    <row r="25" spans="2:3" ht="12.75">
      <c r="B25" s="165" t="s">
        <v>24</v>
      </c>
      <c r="C25" s="6">
        <v>36400</v>
      </c>
    </row>
    <row r="26" spans="6:7" ht="12.75">
      <c r="F26" s="2" t="s">
        <v>25</v>
      </c>
      <c r="G26" s="49">
        <v>0.4</v>
      </c>
    </row>
    <row r="27" ht="12.75">
      <c r="B27" s="166" t="s">
        <v>154</v>
      </c>
    </row>
    <row r="28" spans="2:7" ht="24.75">
      <c r="B28" s="4" t="s">
        <v>155</v>
      </c>
      <c r="C28" s="167" t="s">
        <v>26</v>
      </c>
      <c r="D28" s="4" t="s">
        <v>27</v>
      </c>
      <c r="E28" s="4" t="s">
        <v>157</v>
      </c>
      <c r="F28" s="4" t="s">
        <v>62</v>
      </c>
      <c r="G28" s="168" t="s">
        <v>28</v>
      </c>
    </row>
    <row r="29" spans="2:8" ht="12.75">
      <c r="B29" s="7">
        <v>1</v>
      </c>
      <c r="C29" s="8">
        <f>C20</f>
        <v>50000</v>
      </c>
      <c r="D29" s="8">
        <f>C29*C$21</f>
        <v>2000</v>
      </c>
      <c r="E29" s="8">
        <f>F29-D29</f>
        <v>15000</v>
      </c>
      <c r="F29" s="169">
        <f>C24</f>
        <v>17000</v>
      </c>
      <c r="G29" s="8">
        <f>G$26*D29</f>
        <v>800</v>
      </c>
      <c r="H29" t="s">
        <v>29</v>
      </c>
    </row>
    <row r="30" spans="2:7" ht="12.75">
      <c r="B30" s="11">
        <v>2</v>
      </c>
      <c r="C30" s="12">
        <f>C29-E29</f>
        <v>35000</v>
      </c>
      <c r="D30" s="12">
        <f>C30*C$21</f>
        <v>1400</v>
      </c>
      <c r="E30" s="12">
        <f>F30-D30</f>
        <v>35000</v>
      </c>
      <c r="F30" s="161">
        <f>C25</f>
        <v>36400</v>
      </c>
      <c r="G30" s="12">
        <f>G$26*D30</f>
        <v>560</v>
      </c>
    </row>
    <row r="33" spans="1:2" ht="12.75">
      <c r="A33" s="1" t="s">
        <v>30</v>
      </c>
      <c r="B33" s="1" t="s">
        <v>31</v>
      </c>
    </row>
    <row r="34" spans="3:6" ht="12.75">
      <c r="C34" s="170" t="s">
        <v>3</v>
      </c>
      <c r="D34" s="171"/>
      <c r="E34" s="171"/>
      <c r="F34" s="172"/>
    </row>
    <row r="35" spans="2:6" ht="12.75">
      <c r="B35" s="152" t="s">
        <v>2</v>
      </c>
      <c r="C35" s="152" t="s">
        <v>32</v>
      </c>
      <c r="D35" s="152" t="s">
        <v>121</v>
      </c>
      <c r="E35" s="7" t="s">
        <v>33</v>
      </c>
      <c r="F35" s="173" t="s">
        <v>34</v>
      </c>
    </row>
    <row r="36" spans="2:7" ht="12.75">
      <c r="B36" s="7">
        <v>0</v>
      </c>
      <c r="C36" s="8">
        <v>-130000</v>
      </c>
      <c r="D36" s="169">
        <f>C20</f>
        <v>50000</v>
      </c>
      <c r="E36" s="13"/>
      <c r="F36" s="174">
        <f aca="true" t="shared" si="0" ref="F36:F41">SUM(C36:E36)</f>
        <v>-80000</v>
      </c>
      <c r="G36" t="s">
        <v>35</v>
      </c>
    </row>
    <row r="37" spans="2:6" ht="12.75">
      <c r="B37" s="9">
        <v>1</v>
      </c>
      <c r="C37" s="10">
        <v>16500</v>
      </c>
      <c r="D37" s="160">
        <f>-C24</f>
        <v>-17000</v>
      </c>
      <c r="E37" s="10">
        <f>G29</f>
        <v>800</v>
      </c>
      <c r="F37" s="175">
        <f t="shared" si="0"/>
        <v>300</v>
      </c>
    </row>
    <row r="38" spans="2:6" ht="12.75">
      <c r="B38" s="9">
        <v>2</v>
      </c>
      <c r="C38" s="10">
        <v>36050</v>
      </c>
      <c r="D38" s="160">
        <f>-C25</f>
        <v>-36400</v>
      </c>
      <c r="E38" s="10">
        <f>G30</f>
        <v>560</v>
      </c>
      <c r="F38" s="175">
        <f t="shared" si="0"/>
        <v>210</v>
      </c>
    </row>
    <row r="39" spans="2:6" ht="12.75">
      <c r="B39" s="9">
        <v>3</v>
      </c>
      <c r="C39" s="10">
        <v>30000</v>
      </c>
      <c r="D39" s="176"/>
      <c r="E39" s="177"/>
      <c r="F39" s="175">
        <f t="shared" si="0"/>
        <v>30000</v>
      </c>
    </row>
    <row r="40" spans="2:6" ht="12.75">
      <c r="B40" s="9">
        <v>4</v>
      </c>
      <c r="C40" s="10">
        <v>31000</v>
      </c>
      <c r="D40" s="176"/>
      <c r="E40" s="177"/>
      <c r="F40" s="175">
        <f t="shared" si="0"/>
        <v>31000</v>
      </c>
    </row>
    <row r="41" spans="2:6" ht="12.75">
      <c r="B41" s="11">
        <v>5</v>
      </c>
      <c r="C41" s="12">
        <v>34000</v>
      </c>
      <c r="D41" s="178"/>
      <c r="E41" s="20"/>
      <c r="F41" s="179">
        <f t="shared" si="0"/>
        <v>34000</v>
      </c>
    </row>
    <row r="43" spans="5:8" ht="12.75">
      <c r="E43" s="152" t="s">
        <v>9</v>
      </c>
      <c r="F43" s="180">
        <f>IRR(F36:F41)</f>
        <v>0.04515363845644822</v>
      </c>
      <c r="H43" s="181">
        <f>F43-C15</f>
        <v>0.00436258569408917</v>
      </c>
    </row>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J44"/>
  <sheetViews>
    <sheetView tabSelected="1" workbookViewId="0" topLeftCell="A21">
      <selection activeCell="G33" sqref="G33"/>
    </sheetView>
  </sheetViews>
  <sheetFormatPr defaultColWidth="11.00390625" defaultRowHeight="12.75"/>
  <cols>
    <col min="1" max="1" width="13.875" style="0" customWidth="1"/>
    <col min="3" max="3" width="12.75390625" style="0" customWidth="1"/>
    <col min="6" max="6" width="10.875" style="0" bestFit="1" customWidth="1"/>
    <col min="7" max="7" width="11.875" style="0" customWidth="1"/>
    <col min="9" max="9" width="12.625" style="0" customWidth="1"/>
    <col min="11" max="11" width="11.625" style="0" customWidth="1"/>
  </cols>
  <sheetData>
    <row r="1" ht="12.75">
      <c r="A1" s="1" t="s">
        <v>36</v>
      </c>
    </row>
    <row r="2" spans="1:6" ht="12.75">
      <c r="A2" s="1"/>
      <c r="F2" s="1"/>
    </row>
    <row r="3" spans="1:6" ht="12.75">
      <c r="A3" s="182" t="s">
        <v>20</v>
      </c>
      <c r="F3" s="1"/>
    </row>
    <row r="4" spans="1:2" ht="12.75">
      <c r="A4" s="2" t="s">
        <v>148</v>
      </c>
      <c r="B4" s="183">
        <v>150000</v>
      </c>
    </row>
    <row r="5" spans="1:3" ht="12.75">
      <c r="A5" s="2" t="s">
        <v>150</v>
      </c>
      <c r="B5" s="2">
        <v>5</v>
      </c>
      <c r="C5" t="s">
        <v>164</v>
      </c>
    </row>
    <row r="6" spans="1:2" ht="12.75">
      <c r="A6" s="14" t="s">
        <v>37</v>
      </c>
      <c r="B6" s="25">
        <v>12000</v>
      </c>
    </row>
    <row r="7" spans="1:2" ht="12.75">
      <c r="A7" s="50"/>
      <c r="B7" s="18"/>
    </row>
    <row r="8" spans="1:2" ht="12.75">
      <c r="A8" s="1" t="s">
        <v>0</v>
      </c>
      <c r="B8" s="18"/>
    </row>
    <row r="10" spans="2:4" ht="27" customHeight="1">
      <c r="B10" s="86" t="s">
        <v>2</v>
      </c>
      <c r="C10" s="4" t="s">
        <v>38</v>
      </c>
      <c r="D10" s="158"/>
    </row>
    <row r="11" spans="2:3" ht="12.75">
      <c r="B11" s="7">
        <v>0</v>
      </c>
      <c r="C11" s="8">
        <v>-150000</v>
      </c>
    </row>
    <row r="12" spans="2:3" ht="12.75">
      <c r="B12" s="9">
        <v>1</v>
      </c>
      <c r="C12" s="10">
        <v>12000</v>
      </c>
    </row>
    <row r="13" spans="2:3" ht="12.75">
      <c r="B13" s="9">
        <v>2</v>
      </c>
      <c r="C13" s="10">
        <v>12000</v>
      </c>
    </row>
    <row r="14" spans="2:3" ht="12.75">
      <c r="B14" s="9">
        <v>3</v>
      </c>
      <c r="C14" s="10">
        <v>12000</v>
      </c>
    </row>
    <row r="15" spans="2:3" ht="12.75">
      <c r="B15" s="9">
        <v>4</v>
      </c>
      <c r="C15" s="10">
        <v>12000</v>
      </c>
    </row>
    <row r="16" spans="2:3" ht="12.75">
      <c r="B16" s="11">
        <v>5</v>
      </c>
      <c r="C16" s="10">
        <f>12000+150000</f>
        <v>162000</v>
      </c>
    </row>
    <row r="17" spans="2:3" ht="12.75">
      <c r="B17" s="2" t="s">
        <v>9</v>
      </c>
      <c r="C17" s="49">
        <f>IRR(C11:C16)</f>
        <v>0.08000000000000006</v>
      </c>
    </row>
    <row r="19" spans="2:3" ht="24.75">
      <c r="B19" s="157" t="s">
        <v>39</v>
      </c>
      <c r="C19" s="186">
        <v>0.03</v>
      </c>
    </row>
    <row r="20" spans="2:10" ht="12.75">
      <c r="B20" s="2" t="s">
        <v>50</v>
      </c>
      <c r="C20" s="162">
        <f>MIRR(C11:C16,C17,C19)</f>
        <v>0.07336286642794065</v>
      </c>
      <c r="D20" s="198" t="s">
        <v>143</v>
      </c>
      <c r="E20" s="18"/>
      <c r="F20" s="184"/>
      <c r="I20" s="18"/>
      <c r="J20" s="185"/>
    </row>
    <row r="21" spans="5:10" ht="12.75">
      <c r="E21" s="18"/>
      <c r="F21" s="184"/>
      <c r="I21" s="18"/>
      <c r="J21" s="185"/>
    </row>
    <row r="22" spans="2:10" ht="12.75">
      <c r="B22" s="1" t="s">
        <v>144</v>
      </c>
      <c r="E22" s="18"/>
      <c r="F22" s="184"/>
      <c r="I22" s="18"/>
      <c r="J22" s="185"/>
    </row>
    <row r="23" spans="3:6" ht="24.75">
      <c r="C23" s="167" t="s">
        <v>40</v>
      </c>
      <c r="D23" s="186">
        <f>C17</f>
        <v>0.08000000000000006</v>
      </c>
      <c r="E23" s="18"/>
      <c r="F23" s="184"/>
    </row>
    <row r="25" spans="2:6" ht="12.75">
      <c r="B25" t="s">
        <v>41</v>
      </c>
      <c r="E25" s="18"/>
      <c r="F25" s="184"/>
    </row>
    <row r="26" spans="2:6" ht="39" customHeight="1">
      <c r="B26" s="86" t="s">
        <v>155</v>
      </c>
      <c r="C26" s="167" t="s">
        <v>42</v>
      </c>
      <c r="D26" s="4" t="s">
        <v>156</v>
      </c>
      <c r="E26" s="4" t="s">
        <v>43</v>
      </c>
      <c r="F26" s="187" t="s">
        <v>38</v>
      </c>
    </row>
    <row r="27" spans="2:6" ht="12.75">
      <c r="B27" s="9">
        <v>1</v>
      </c>
      <c r="C27" s="183">
        <f>B4</f>
        <v>150000</v>
      </c>
      <c r="D27" s="13">
        <f>C27*D$23</f>
        <v>12000.00000000001</v>
      </c>
      <c r="E27" s="188">
        <f>F27-D27</f>
        <v>-9.094947017729282E-12</v>
      </c>
      <c r="F27" s="183">
        <f>B$6</f>
        <v>12000</v>
      </c>
    </row>
    <row r="28" spans="2:6" ht="12.75">
      <c r="B28" s="9">
        <v>2</v>
      </c>
      <c r="C28" s="189">
        <f>C27-E27</f>
        <v>150000</v>
      </c>
      <c r="D28" s="177">
        <f>C28*D$23</f>
        <v>12000.00000000001</v>
      </c>
      <c r="E28" s="190">
        <f>F28-D28</f>
        <v>-9.094947017729282E-12</v>
      </c>
      <c r="F28" s="189">
        <f>B$6</f>
        <v>12000</v>
      </c>
    </row>
    <row r="29" spans="2:6" ht="12.75">
      <c r="B29" s="9">
        <v>3</v>
      </c>
      <c r="C29" s="189">
        <f>C28-E28</f>
        <v>150000</v>
      </c>
      <c r="D29" s="177">
        <f>C29*D$23</f>
        <v>12000.00000000001</v>
      </c>
      <c r="E29" s="190">
        <f>F29-D29</f>
        <v>-9.094947017729282E-12</v>
      </c>
      <c r="F29" s="189">
        <f>B$6</f>
        <v>12000</v>
      </c>
    </row>
    <row r="30" spans="2:6" ht="12.75">
      <c r="B30" s="9">
        <v>4</v>
      </c>
      <c r="C30" s="189">
        <f>C29-E29</f>
        <v>150000</v>
      </c>
      <c r="D30" s="191">
        <f>C30*D$23</f>
        <v>12000.00000000001</v>
      </c>
      <c r="E30" s="190">
        <f>F30-D30</f>
        <v>-9.094947017729282E-12</v>
      </c>
      <c r="F30" s="189">
        <f>B$6</f>
        <v>12000</v>
      </c>
    </row>
    <row r="31" spans="2:6" ht="12.75">
      <c r="B31" s="11">
        <v>5</v>
      </c>
      <c r="C31" s="192">
        <f>C30-E30</f>
        <v>150000</v>
      </c>
      <c r="D31" s="193">
        <f>C31*D$23</f>
        <v>12000.00000000001</v>
      </c>
      <c r="E31" s="194">
        <f>F31-D31</f>
        <v>150000</v>
      </c>
      <c r="F31" s="192">
        <f>B4+B$6</f>
        <v>162000</v>
      </c>
    </row>
    <row r="32" spans="2:6" ht="12.75">
      <c r="B32" s="2" t="s">
        <v>44</v>
      </c>
      <c r="C32" s="25">
        <f>C31-E31</f>
        <v>0</v>
      </c>
      <c r="E32" s="18"/>
      <c r="F32" s="184"/>
    </row>
    <row r="33" spans="2:10" ht="12.75">
      <c r="B33" s="1" t="s">
        <v>145</v>
      </c>
      <c r="C33" t="s">
        <v>146</v>
      </c>
      <c r="E33" s="18"/>
      <c r="F33" s="184"/>
      <c r="I33" s="18"/>
      <c r="J33" s="185"/>
    </row>
    <row r="36" spans="1:5" ht="12.75">
      <c r="A36" s="1" t="s">
        <v>11</v>
      </c>
      <c r="C36" s="195" t="s">
        <v>45</v>
      </c>
      <c r="D36" s="196"/>
      <c r="E36" s="94"/>
    </row>
    <row r="37" spans="2:6" ht="12.75">
      <c r="B37" s="86" t="s">
        <v>2</v>
      </c>
      <c r="C37" s="152" t="s">
        <v>46</v>
      </c>
      <c r="D37" s="152" t="s">
        <v>47</v>
      </c>
      <c r="E37" s="2" t="s">
        <v>48</v>
      </c>
      <c r="F37" s="2" t="s">
        <v>49</v>
      </c>
    </row>
    <row r="38" spans="2:6" ht="12.75">
      <c r="B38" s="7">
        <v>0</v>
      </c>
      <c r="C38" s="8">
        <v>-150000</v>
      </c>
      <c r="D38" s="8">
        <v>30000</v>
      </c>
      <c r="E38" s="8"/>
      <c r="F38" s="8">
        <f aca="true" t="shared" si="0" ref="F38:F43">C38+D38+E38</f>
        <v>-120000</v>
      </c>
    </row>
    <row r="39" spans="2:6" ht="12.75">
      <c r="B39" s="9">
        <v>1</v>
      </c>
      <c r="C39" s="10">
        <v>12000</v>
      </c>
      <c r="D39" s="10">
        <v>-1800</v>
      </c>
      <c r="E39" s="10">
        <f>-D39*0.4</f>
        <v>720</v>
      </c>
      <c r="F39" s="10">
        <f t="shared" si="0"/>
        <v>10920</v>
      </c>
    </row>
    <row r="40" spans="2:6" ht="12.75">
      <c r="B40" s="9">
        <v>2</v>
      </c>
      <c r="C40" s="10">
        <v>12000</v>
      </c>
      <c r="D40" s="10">
        <v>-1800</v>
      </c>
      <c r="E40" s="10">
        <f>-D40*0.4</f>
        <v>720</v>
      </c>
      <c r="F40" s="10">
        <f t="shared" si="0"/>
        <v>10920</v>
      </c>
    </row>
    <row r="41" spans="2:6" ht="12.75">
      <c r="B41" s="9">
        <v>3</v>
      </c>
      <c r="C41" s="10">
        <v>12000</v>
      </c>
      <c r="D41" s="10">
        <f>-(1800+30000)</f>
        <v>-31800</v>
      </c>
      <c r="E41" s="10">
        <f>E40</f>
        <v>720</v>
      </c>
      <c r="F41" s="10">
        <f t="shared" si="0"/>
        <v>-19080</v>
      </c>
    </row>
    <row r="42" spans="2:6" ht="12.75">
      <c r="B42" s="9">
        <v>4</v>
      </c>
      <c r="C42" s="10">
        <v>12000</v>
      </c>
      <c r="D42" s="10"/>
      <c r="E42" s="10"/>
      <c r="F42" s="10">
        <f t="shared" si="0"/>
        <v>12000</v>
      </c>
    </row>
    <row r="43" spans="2:6" ht="12.75">
      <c r="B43" s="11">
        <v>5</v>
      </c>
      <c r="C43" s="12">
        <f>12000+150000</f>
        <v>162000</v>
      </c>
      <c r="D43" s="12"/>
      <c r="E43" s="12"/>
      <c r="F43" s="12">
        <f t="shared" si="0"/>
        <v>162000</v>
      </c>
    </row>
    <row r="44" spans="5:6" ht="12.75">
      <c r="E44" s="20" t="s">
        <v>9</v>
      </c>
      <c r="F44" s="197">
        <f>IRR(F38:F43)</f>
        <v>0.08656256256723567</v>
      </c>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ufr</dc:creator>
  <cp:keywords/>
  <dc:description/>
  <cp:lastModifiedBy>ufr</cp:lastModifiedBy>
  <dcterms:created xsi:type="dcterms:W3CDTF">2012-12-14T22:53:13Z</dcterms:created>
  <cp:category/>
  <cp:version/>
  <cp:contentType/>
  <cp:contentStatus/>
</cp:coreProperties>
</file>